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n anh\2024\GIÁ\GIÁ DỊCH VỤ THEO LUẬT KHÁM CHỮA BỆNH\TRÌNH lần 2\BẢN TRÌNH UBND\BẢN IN GƯI HĐND SAU KY HOP\"/>
    </mc:Choice>
  </mc:AlternateContent>
  <xr:revisionPtr revIDLastSave="0" documentId="13_ncr:1_{780E033D-3871-49A9-B81D-CEA58BA47B2D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Thuyết minh ngày Giường (2)" sheetId="17" state="hidden" r:id="rId1"/>
    <sheet name="Thuyết minh công khám" sheetId="16" state="hidden" r:id="rId2"/>
    <sheet name="Sheet2" sheetId="5" state="hidden" r:id="rId3"/>
    <sheet name="Phu lục 2" sheetId="1" state="hidden" r:id="rId4"/>
    <sheet name="Giường" sheetId="8" r:id="rId5"/>
    <sheet name="Giường TT22 BYT" sheetId="10" state="hidden" r:id="rId6"/>
    <sheet name="Công khám BHYT" sheetId="15" state="hidden" r:id="rId7"/>
    <sheet name="Giường BHYT" sheetId="9" state="hidden" r:id="rId8"/>
    <sheet name="Công khám BM" sheetId="11" state="hidden" r:id="rId9"/>
    <sheet name="Giường BM" sheetId="12" state="hidden" r:id="rId10"/>
    <sheet name="Công khám CR" sheetId="13" state="hidden" r:id="rId11"/>
    <sheet name="Giường CR" sheetId="14" state="hidden" r:id="rId12"/>
  </sheets>
  <definedNames>
    <definedName name="chuong_pl_2_name" localSheetId="3">'Phu lục 2'!$A$2</definedName>
    <definedName name="chuong_pl_5" localSheetId="1">'Thuyết minh công khám'!$A$2</definedName>
    <definedName name="chuong_pl_5_name" localSheetId="1">'Thuyết minh công khám'!$A$3</definedName>
    <definedName name="_xlnm.Print_Area" localSheetId="4">Giường!$A$1:$AA$73</definedName>
    <definedName name="_xlnm.Print_Titles" localSheetId="4">Giường!$6:$8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6" l="1"/>
  <c r="AJ11" i="16"/>
  <c r="AJ12" i="16"/>
  <c r="AJ13" i="16"/>
  <c r="AJ14" i="16"/>
  <c r="AJ9" i="16"/>
  <c r="AI10" i="16"/>
  <c r="AK10" i="16" s="1"/>
  <c r="AM10" i="16" s="1"/>
  <c r="AI11" i="16"/>
  <c r="AI12" i="16"/>
  <c r="AK12" i="16" s="1"/>
  <c r="AI13" i="16"/>
  <c r="AK13" i="16" s="1"/>
  <c r="AI14" i="16"/>
  <c r="AK14" i="16" s="1"/>
  <c r="AI9" i="16"/>
  <c r="AK9" i="16" s="1"/>
  <c r="I68" i="17"/>
  <c r="S68" i="17" s="1"/>
  <c r="I38" i="17"/>
  <c r="S38" i="17" s="1"/>
  <c r="S25" i="17"/>
  <c r="S29" i="17"/>
  <c r="S34" i="17"/>
  <c r="S37" i="17"/>
  <c r="S41" i="17"/>
  <c r="S46" i="17"/>
  <c r="S47" i="17"/>
  <c r="S49" i="17"/>
  <c r="S53" i="17"/>
  <c r="S54" i="17"/>
  <c r="S58" i="17"/>
  <c r="S59" i="17"/>
  <c r="S61" i="17"/>
  <c r="S65" i="17"/>
  <c r="S66" i="17"/>
  <c r="J40" i="17"/>
  <c r="I40" i="17"/>
  <c r="S40" i="17" s="1"/>
  <c r="J33" i="17"/>
  <c r="P33" i="17" s="1"/>
  <c r="I33" i="17"/>
  <c r="I32" i="17"/>
  <c r="S32" i="17" s="1"/>
  <c r="J32" i="17"/>
  <c r="P32" i="17" s="1"/>
  <c r="J31" i="17"/>
  <c r="P31" i="17" s="1"/>
  <c r="I31" i="17"/>
  <c r="J30" i="17"/>
  <c r="P30" i="17" s="1"/>
  <c r="I30" i="17"/>
  <c r="J69" i="17"/>
  <c r="P69" i="17" s="1"/>
  <c r="I69" i="17"/>
  <c r="S69" i="17" s="1"/>
  <c r="J68" i="17"/>
  <c r="P68" i="17" s="1"/>
  <c r="J67" i="17"/>
  <c r="I67" i="17"/>
  <c r="S67" i="17" s="1"/>
  <c r="J63" i="17"/>
  <c r="J64" i="17"/>
  <c r="P64" i="17" s="1"/>
  <c r="I64" i="17"/>
  <c r="S64" i="17" s="1"/>
  <c r="I63" i="17"/>
  <c r="S63" i="17" s="1"/>
  <c r="J62" i="17"/>
  <c r="I62" i="17"/>
  <c r="S62" i="17" s="1"/>
  <c r="J57" i="17"/>
  <c r="I57" i="17"/>
  <c r="H57" i="17" s="1"/>
  <c r="J56" i="17"/>
  <c r="I56" i="17"/>
  <c r="J55" i="17"/>
  <c r="I55" i="17"/>
  <c r="S55" i="17" s="1"/>
  <c r="J52" i="17"/>
  <c r="P52" i="17" s="1"/>
  <c r="I52" i="17"/>
  <c r="J51" i="17"/>
  <c r="P51" i="17" s="1"/>
  <c r="I51" i="17"/>
  <c r="S51" i="17" s="1"/>
  <c r="J50" i="17"/>
  <c r="P50" i="17" s="1"/>
  <c r="I50" i="17"/>
  <c r="S50" i="17" s="1"/>
  <c r="J45" i="17"/>
  <c r="I45" i="17"/>
  <c r="H45" i="17" s="1"/>
  <c r="J44" i="17"/>
  <c r="I44" i="17"/>
  <c r="J43" i="17"/>
  <c r="I43" i="17"/>
  <c r="S43" i="17" s="1"/>
  <c r="J42" i="17"/>
  <c r="I42" i="17"/>
  <c r="J39" i="17"/>
  <c r="I39" i="17"/>
  <c r="S39" i="17" s="1"/>
  <c r="J38" i="17"/>
  <c r="I28" i="17"/>
  <c r="S28" i="17" s="1"/>
  <c r="J28" i="17"/>
  <c r="J27" i="17"/>
  <c r="P27" i="17" s="1"/>
  <c r="I27" i="17"/>
  <c r="S27" i="17" s="1"/>
  <c r="J26" i="17"/>
  <c r="P26" i="17" s="1"/>
  <c r="I26" i="17"/>
  <c r="J60" i="17"/>
  <c r="P60" i="17" s="1"/>
  <c r="I60" i="17"/>
  <c r="S60" i="17" s="1"/>
  <c r="J48" i="17"/>
  <c r="P48" i="17" s="1"/>
  <c r="I48" i="17"/>
  <c r="S48" i="17" s="1"/>
  <c r="J36" i="17"/>
  <c r="I36" i="17"/>
  <c r="J24" i="17"/>
  <c r="P24" i="17" s="1"/>
  <c r="I24" i="17"/>
  <c r="J35" i="17"/>
  <c r="I35" i="17"/>
  <c r="S35" i="17" s="1"/>
  <c r="J23" i="17"/>
  <c r="I23" i="17"/>
  <c r="S23" i="17" s="1"/>
  <c r="H25" i="17"/>
  <c r="H29" i="17"/>
  <c r="H34" i="17"/>
  <c r="H37" i="17"/>
  <c r="H41" i="17"/>
  <c r="H46" i="17"/>
  <c r="H47" i="17"/>
  <c r="H49" i="17"/>
  <c r="H53" i="17"/>
  <c r="H54" i="17"/>
  <c r="H58" i="17"/>
  <c r="H59" i="17"/>
  <c r="H61" i="17"/>
  <c r="H65" i="17"/>
  <c r="H66" i="17"/>
  <c r="O69" i="17"/>
  <c r="L69" i="17"/>
  <c r="O68" i="17"/>
  <c r="L68" i="17"/>
  <c r="O67" i="17"/>
  <c r="L67" i="17"/>
  <c r="P67" i="17"/>
  <c r="O66" i="17"/>
  <c r="P66" i="17"/>
  <c r="P65" i="17"/>
  <c r="O65" i="17"/>
  <c r="L65" i="17"/>
  <c r="O64" i="17"/>
  <c r="L64" i="17"/>
  <c r="O63" i="17"/>
  <c r="L63" i="17"/>
  <c r="O62" i="17"/>
  <c r="L62" i="17"/>
  <c r="P61" i="17"/>
  <c r="O61" i="17"/>
  <c r="N61" i="17" s="1"/>
  <c r="M61" i="17" s="1"/>
  <c r="L61" i="17"/>
  <c r="O60" i="17"/>
  <c r="L60" i="17"/>
  <c r="P59" i="17"/>
  <c r="O59" i="17"/>
  <c r="O58" i="17"/>
  <c r="L58" i="17"/>
  <c r="O57" i="17"/>
  <c r="L57" i="17"/>
  <c r="O56" i="17"/>
  <c r="L56" i="17"/>
  <c r="O55" i="17"/>
  <c r="L55" i="17"/>
  <c r="O54" i="17"/>
  <c r="P53" i="17"/>
  <c r="O53" i="17"/>
  <c r="L53" i="17"/>
  <c r="O52" i="17"/>
  <c r="L52" i="17"/>
  <c r="O51" i="17"/>
  <c r="L51" i="17"/>
  <c r="O50" i="17"/>
  <c r="L50" i="17"/>
  <c r="P49" i="17"/>
  <c r="O49" i="17"/>
  <c r="L49" i="17"/>
  <c r="O48" i="17"/>
  <c r="L48" i="17"/>
  <c r="P47" i="17"/>
  <c r="O47" i="17"/>
  <c r="L47" i="17"/>
  <c r="O46" i="17"/>
  <c r="P46" i="17"/>
  <c r="O45" i="17"/>
  <c r="L45" i="17"/>
  <c r="O44" i="17"/>
  <c r="L44" i="17"/>
  <c r="O43" i="17"/>
  <c r="L43" i="17"/>
  <c r="O42" i="17"/>
  <c r="L42" i="17"/>
  <c r="O41" i="17"/>
  <c r="L41" i="17"/>
  <c r="O40" i="17"/>
  <c r="L40" i="17"/>
  <c r="O39" i="17"/>
  <c r="L39" i="17"/>
  <c r="O38" i="17"/>
  <c r="L38" i="17"/>
  <c r="O37" i="17"/>
  <c r="L37" i="17"/>
  <c r="O36" i="17"/>
  <c r="L36" i="17"/>
  <c r="O35" i="17"/>
  <c r="L35" i="17"/>
  <c r="O34" i="17"/>
  <c r="P34" i="17"/>
  <c r="O33" i="17"/>
  <c r="L33" i="17"/>
  <c r="O32" i="17"/>
  <c r="L32" i="17"/>
  <c r="O31" i="17"/>
  <c r="L31" i="17"/>
  <c r="O30" i="17"/>
  <c r="L30" i="17"/>
  <c r="O29" i="17"/>
  <c r="O28" i="17"/>
  <c r="L28" i="17"/>
  <c r="P28" i="17"/>
  <c r="O27" i="17"/>
  <c r="L27" i="17"/>
  <c r="O26" i="17"/>
  <c r="L26" i="17"/>
  <c r="O25" i="17"/>
  <c r="L25" i="17"/>
  <c r="P25" i="17"/>
  <c r="O24" i="17"/>
  <c r="L24" i="17"/>
  <c r="O23" i="17"/>
  <c r="L23" i="17"/>
  <c r="T22" i="17"/>
  <c r="S22" i="17"/>
  <c r="O21" i="17"/>
  <c r="S21" i="17" s="1"/>
  <c r="L21" i="17"/>
  <c r="J21" i="17"/>
  <c r="P21" i="17" s="1"/>
  <c r="O20" i="17"/>
  <c r="S20" i="17" s="1"/>
  <c r="L20" i="17"/>
  <c r="J20" i="17"/>
  <c r="P20" i="17" s="1"/>
  <c r="O19" i="17"/>
  <c r="S19" i="17" s="1"/>
  <c r="L19" i="17"/>
  <c r="J19" i="17"/>
  <c r="T19" i="17" s="1"/>
  <c r="T18" i="17"/>
  <c r="O18" i="17"/>
  <c r="S18" i="17" s="1"/>
  <c r="L18" i="17"/>
  <c r="J18" i="17"/>
  <c r="P18" i="17" s="1"/>
  <c r="O17" i="17"/>
  <c r="S17" i="17" s="1"/>
  <c r="L17" i="17"/>
  <c r="J17" i="17"/>
  <c r="T17" i="17" s="1"/>
  <c r="O16" i="17"/>
  <c r="S16" i="17" s="1"/>
  <c r="L16" i="17"/>
  <c r="J16" i="17"/>
  <c r="T16" i="17" s="1"/>
  <c r="O15" i="17"/>
  <c r="S15" i="17" s="1"/>
  <c r="L15" i="17"/>
  <c r="J15" i="17"/>
  <c r="P15" i="17" s="1"/>
  <c r="O14" i="17"/>
  <c r="S14" i="17" s="1"/>
  <c r="L14" i="17"/>
  <c r="J14" i="17"/>
  <c r="T14" i="17" s="1"/>
  <c r="O13" i="17"/>
  <c r="S13" i="17" s="1"/>
  <c r="L13" i="17"/>
  <c r="J13" i="17"/>
  <c r="T13" i="17" s="1"/>
  <c r="O12" i="17"/>
  <c r="S12" i="17" s="1"/>
  <c r="L12" i="17"/>
  <c r="J12" i="17"/>
  <c r="P12" i="17" s="1"/>
  <c r="O11" i="17"/>
  <c r="S11" i="17" s="1"/>
  <c r="L11" i="17"/>
  <c r="J11" i="17"/>
  <c r="T11" i="17" s="1"/>
  <c r="R7" i="17"/>
  <c r="Q7" i="17"/>
  <c r="L7" i="17"/>
  <c r="S10" i="16"/>
  <c r="O12" i="16"/>
  <c r="S12" i="16" s="1"/>
  <c r="L10" i="16"/>
  <c r="P10" i="16" s="1"/>
  <c r="T10" i="16" s="1"/>
  <c r="L11" i="16"/>
  <c r="P11" i="16" s="1"/>
  <c r="T11" i="16" s="1"/>
  <c r="L12" i="16"/>
  <c r="P12" i="16" s="1"/>
  <c r="T12" i="16" s="1"/>
  <c r="L13" i="16"/>
  <c r="P13" i="16" s="1"/>
  <c r="T13" i="16" s="1"/>
  <c r="T14" i="16" s="1"/>
  <c r="L14" i="16"/>
  <c r="P14" i="16" s="1"/>
  <c r="L9" i="16"/>
  <c r="P9" i="16" s="1"/>
  <c r="T9" i="16" s="1"/>
  <c r="K10" i="16"/>
  <c r="O10" i="16" s="1"/>
  <c r="Q10" i="16" s="1"/>
  <c r="K11" i="16"/>
  <c r="O11" i="16" s="1"/>
  <c r="Q11" i="16" s="1"/>
  <c r="K12" i="16"/>
  <c r="M12" i="16" s="1"/>
  <c r="K13" i="16"/>
  <c r="O13" i="16" s="1"/>
  <c r="S13" i="16" s="1"/>
  <c r="K14" i="16"/>
  <c r="O14" i="16" s="1"/>
  <c r="Q14" i="16" s="1"/>
  <c r="K9" i="16"/>
  <c r="M15" i="16"/>
  <c r="I10" i="16"/>
  <c r="I11" i="16"/>
  <c r="I12" i="16"/>
  <c r="I13" i="16"/>
  <c r="I14" i="16"/>
  <c r="I15" i="16"/>
  <c r="I9" i="16"/>
  <c r="H50" i="17" l="1"/>
  <c r="N20" i="17"/>
  <c r="M20" i="17" s="1"/>
  <c r="T21" i="17"/>
  <c r="R21" i="17" s="1"/>
  <c r="Q21" i="17" s="1"/>
  <c r="N48" i="17"/>
  <c r="M48" i="17" s="1"/>
  <c r="N64" i="17"/>
  <c r="T12" i="17"/>
  <c r="H28" i="17"/>
  <c r="N26" i="17"/>
  <c r="M26" i="17" s="1"/>
  <c r="H44" i="17"/>
  <c r="H56" i="17"/>
  <c r="N24" i="17"/>
  <c r="M24" i="17" s="1"/>
  <c r="AK11" i="16"/>
  <c r="R22" i="17"/>
  <c r="N51" i="17"/>
  <c r="M51" i="17" s="1"/>
  <c r="H51" i="17"/>
  <c r="S56" i="17"/>
  <c r="S44" i="17"/>
  <c r="H63" i="17"/>
  <c r="H33" i="17"/>
  <c r="S11" i="16"/>
  <c r="U11" i="16" s="1"/>
  <c r="U10" i="16"/>
  <c r="T15" i="17"/>
  <c r="N67" i="17"/>
  <c r="M67" i="17" s="1"/>
  <c r="N60" i="17"/>
  <c r="M60" i="17" s="1"/>
  <c r="N33" i="17"/>
  <c r="M33" i="17" s="1"/>
  <c r="H38" i="17"/>
  <c r="U12" i="16"/>
  <c r="S14" i="16"/>
  <c r="U14" i="16" s="1"/>
  <c r="U13" i="16"/>
  <c r="N59" i="17"/>
  <c r="M59" i="17" s="1"/>
  <c r="H26" i="17"/>
  <c r="H43" i="17"/>
  <c r="H55" i="17"/>
  <c r="H67" i="17"/>
  <c r="N28" i="17"/>
  <c r="M28" i="17" s="1"/>
  <c r="S33" i="17"/>
  <c r="N27" i="17"/>
  <c r="M27" i="17" s="1"/>
  <c r="R11" i="17"/>
  <c r="Q11" i="17" s="1"/>
  <c r="R14" i="17"/>
  <c r="Q14" i="17" s="1"/>
  <c r="R17" i="17"/>
  <c r="Q17" i="17" s="1"/>
  <c r="H68" i="17"/>
  <c r="H24" i="17"/>
  <c r="H30" i="17"/>
  <c r="N52" i="17"/>
  <c r="M52" i="17" s="1"/>
  <c r="N69" i="17"/>
  <c r="M69" i="17" s="1"/>
  <c r="M11" i="16"/>
  <c r="P11" i="17"/>
  <c r="N11" i="17" s="1"/>
  <c r="M11" i="17" s="1"/>
  <c r="P14" i="17"/>
  <c r="P17" i="17"/>
  <c r="N17" i="17" s="1"/>
  <c r="M17" i="17" s="1"/>
  <c r="S26" i="17"/>
  <c r="M13" i="16"/>
  <c r="M10" i="16"/>
  <c r="N46" i="17"/>
  <c r="M46" i="17" s="1"/>
  <c r="H36" i="17"/>
  <c r="H31" i="17"/>
  <c r="M9" i="16"/>
  <c r="N12" i="17"/>
  <c r="M12" i="17" s="1"/>
  <c r="N15" i="17"/>
  <c r="M15" i="17" s="1"/>
  <c r="N18" i="17"/>
  <c r="M18" i="17" s="1"/>
  <c r="H39" i="17"/>
  <c r="R12" i="17"/>
  <c r="Q12" i="17" s="1"/>
  <c r="R15" i="17"/>
  <c r="Q15" i="17" s="1"/>
  <c r="R18" i="17"/>
  <c r="Q18" i="17" s="1"/>
  <c r="H42" i="17"/>
  <c r="H52" i="17"/>
  <c r="H64" i="17"/>
  <c r="N14" i="17"/>
  <c r="M14" i="17" s="1"/>
  <c r="H27" i="17"/>
  <c r="H62" i="17"/>
  <c r="S31" i="17"/>
  <c r="S57" i="17"/>
  <c r="S45" i="17"/>
  <c r="R19" i="17"/>
  <c r="Q19" i="17" s="1"/>
  <c r="T20" i="17"/>
  <c r="R20" i="17" s="1"/>
  <c r="Q20" i="17" s="1"/>
  <c r="N49" i="17"/>
  <c r="M49" i="17" s="1"/>
  <c r="N53" i="17"/>
  <c r="M53" i="17" s="1"/>
  <c r="R13" i="17"/>
  <c r="Q13" i="17" s="1"/>
  <c r="R16" i="17"/>
  <c r="Q16" i="17" s="1"/>
  <c r="P63" i="17"/>
  <c r="N63" i="17" s="1"/>
  <c r="M63" i="17" s="1"/>
  <c r="N50" i="17"/>
  <c r="M50" i="17" s="1"/>
  <c r="S42" i="17"/>
  <c r="S36" i="17"/>
  <c r="S30" i="17"/>
  <c r="S24" i="17"/>
  <c r="P13" i="17"/>
  <c r="N13" i="17" s="1"/>
  <c r="M13" i="17" s="1"/>
  <c r="P16" i="17"/>
  <c r="N16" i="17" s="1"/>
  <c r="M16" i="17" s="1"/>
  <c r="P19" i="17"/>
  <c r="N19" i="17" s="1"/>
  <c r="M19" i="17" s="1"/>
  <c r="N25" i="17"/>
  <c r="M25" i="17" s="1"/>
  <c r="N65" i="17"/>
  <c r="M65" i="17" s="1"/>
  <c r="N68" i="17"/>
  <c r="M68" i="17" s="1"/>
  <c r="N31" i="17"/>
  <c r="M31" i="17" s="1"/>
  <c r="N47" i="17"/>
  <c r="M47" i="17" s="1"/>
  <c r="N66" i="17"/>
  <c r="M66" i="17" s="1"/>
  <c r="H35" i="17"/>
  <c r="H48" i="17"/>
  <c r="H69" i="17"/>
  <c r="S52" i="17"/>
  <c r="H40" i="17"/>
  <c r="H32" i="17"/>
  <c r="P62" i="17"/>
  <c r="N62" i="17" s="1"/>
  <c r="M62" i="17" s="1"/>
  <c r="H60" i="17"/>
  <c r="H23" i="17"/>
  <c r="P23" i="17"/>
  <c r="N23" i="17" s="1"/>
  <c r="M23" i="17" s="1"/>
  <c r="P40" i="17"/>
  <c r="N40" i="17" s="1"/>
  <c r="M40" i="17" s="1"/>
  <c r="P56" i="17"/>
  <c r="N56" i="17" s="1"/>
  <c r="M56" i="17" s="1"/>
  <c r="P55" i="17"/>
  <c r="N55" i="17" s="1"/>
  <c r="M55" i="17" s="1"/>
  <c r="P41" i="17"/>
  <c r="N41" i="17" s="1"/>
  <c r="M41" i="17" s="1"/>
  <c r="P57" i="17"/>
  <c r="N57" i="17" s="1"/>
  <c r="M57" i="17" s="1"/>
  <c r="M64" i="17"/>
  <c r="N70" i="17"/>
  <c r="M70" i="17" s="1"/>
  <c r="P29" i="17"/>
  <c r="N29" i="17" s="1"/>
  <c r="M29" i="17" s="1"/>
  <c r="P36" i="17"/>
  <c r="N36" i="17" s="1"/>
  <c r="M36" i="17" s="1"/>
  <c r="P42" i="17"/>
  <c r="N42" i="17" s="1"/>
  <c r="M42" i="17" s="1"/>
  <c r="P58" i="17"/>
  <c r="N58" i="17" s="1"/>
  <c r="M58" i="17" s="1"/>
  <c r="P39" i="17"/>
  <c r="N39" i="17" s="1"/>
  <c r="M39" i="17" s="1"/>
  <c r="P45" i="17"/>
  <c r="N45" i="17" s="1"/>
  <c r="M45" i="17" s="1"/>
  <c r="P35" i="17"/>
  <c r="N35" i="17" s="1"/>
  <c r="M35" i="17" s="1"/>
  <c r="N21" i="17"/>
  <c r="M21" i="17" s="1"/>
  <c r="N30" i="17"/>
  <c r="M30" i="17" s="1"/>
  <c r="N32" i="17"/>
  <c r="M32" i="17" s="1"/>
  <c r="N34" i="17"/>
  <c r="M34" i="17" s="1"/>
  <c r="P37" i="17"/>
  <c r="N37" i="17" s="1"/>
  <c r="M37" i="17" s="1"/>
  <c r="P43" i="17"/>
  <c r="N43" i="17" s="1"/>
  <c r="M43" i="17" s="1"/>
  <c r="P38" i="17"/>
  <c r="N38" i="17" s="1"/>
  <c r="M38" i="17" s="1"/>
  <c r="P44" i="17"/>
  <c r="N44" i="17" s="1"/>
  <c r="M44" i="17" s="1"/>
  <c r="P54" i="17"/>
  <c r="N54" i="17" s="1"/>
  <c r="M54" i="17" s="1"/>
  <c r="Q13" i="16"/>
  <c r="Q12" i="16"/>
  <c r="O9" i="16"/>
  <c r="M14" i="16"/>
  <c r="Q9" i="16" l="1"/>
  <c r="S9" i="16"/>
  <c r="U9" i="16" s="1"/>
  <c r="AF19" i="16"/>
  <c r="AE19" i="16"/>
  <c r="AF18" i="16"/>
  <c r="AE18" i="16"/>
  <c r="AF17" i="16"/>
  <c r="AE17" i="16"/>
  <c r="AF15" i="16"/>
  <c r="AE15" i="16"/>
  <c r="X15" i="16"/>
  <c r="AC14" i="16"/>
  <c r="AB14" i="16" s="1"/>
  <c r="AA14" i="16" s="1"/>
  <c r="X14" i="16"/>
  <c r="W14" i="16" s="1"/>
  <c r="AC13" i="16"/>
  <c r="AB13" i="16" s="1"/>
  <c r="AA13" i="16" s="1"/>
  <c r="X13" i="16"/>
  <c r="W13" i="16" s="1"/>
  <c r="AC12" i="16"/>
  <c r="AB12" i="16" s="1"/>
  <c r="AA12" i="16" s="1"/>
  <c r="X12" i="16"/>
  <c r="W12" i="16" s="1"/>
  <c r="AC11" i="16"/>
  <c r="AB11" i="16" s="1"/>
  <c r="AA11" i="16" s="1"/>
  <c r="X11" i="16"/>
  <c r="W11" i="16" s="1"/>
  <c r="AC10" i="16"/>
  <c r="AB10" i="16" s="1"/>
  <c r="AA10" i="16" s="1"/>
  <c r="X10" i="16"/>
  <c r="W10" i="16" s="1"/>
  <c r="AF9" i="16"/>
  <c r="AE9" i="16"/>
  <c r="AC9" i="16"/>
  <c r="AB9" i="16" s="1"/>
  <c r="AA9" i="16" s="1"/>
  <c r="X9" i="16"/>
  <c r="W9" i="16" s="1"/>
  <c r="L7" i="8"/>
  <c r="J11" i="8"/>
  <c r="J12" i="8"/>
  <c r="J13" i="8"/>
  <c r="J14" i="8"/>
  <c r="J15" i="8"/>
  <c r="J16" i="8"/>
  <c r="J17" i="8"/>
  <c r="J18" i="8"/>
  <c r="J19" i="8"/>
  <c r="J20" i="8"/>
  <c r="J21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AL9" i="16" l="1"/>
  <c r="AM9" i="16" s="1"/>
  <c r="S22" i="8"/>
  <c r="L21" i="8"/>
  <c r="L20" i="8"/>
  <c r="L19" i="8"/>
  <c r="L18" i="8"/>
  <c r="L16" i="8"/>
  <c r="L15" i="8"/>
  <c r="L17" i="8"/>
  <c r="L13" i="8"/>
  <c r="L14" i="8"/>
  <c r="L12" i="8"/>
  <c r="L11" i="8"/>
  <c r="T22" i="8"/>
  <c r="O15" i="8"/>
  <c r="S15" i="8" s="1"/>
  <c r="O16" i="8"/>
  <c r="S16" i="8" s="1"/>
  <c r="O17" i="8"/>
  <c r="S17" i="8" s="1"/>
  <c r="O18" i="8"/>
  <c r="O19" i="8"/>
  <c r="S19" i="8" s="1"/>
  <c r="O20" i="8"/>
  <c r="S20" i="8" s="1"/>
  <c r="O21" i="8"/>
  <c r="S21" i="8" s="1"/>
  <c r="O13" i="8"/>
  <c r="S13" i="8" s="1"/>
  <c r="O14" i="8"/>
  <c r="O12" i="8"/>
  <c r="S12" i="8" s="1"/>
  <c r="O11" i="8"/>
  <c r="T12" i="8"/>
  <c r="T13" i="8"/>
  <c r="P14" i="8"/>
  <c r="T15" i="8"/>
  <c r="T16" i="8"/>
  <c r="P17" i="8"/>
  <c r="T18" i="8"/>
  <c r="T19" i="8"/>
  <c r="T20" i="8"/>
  <c r="T21" i="8"/>
  <c r="T11" i="8"/>
  <c r="F15" i="15"/>
  <c r="G15" i="15" s="1"/>
  <c r="H15" i="15" s="1"/>
  <c r="F14" i="15"/>
  <c r="G14" i="15" s="1"/>
  <c r="H14" i="15" s="1"/>
  <c r="F13" i="15"/>
  <c r="G13" i="15" s="1"/>
  <c r="H13" i="15" s="1"/>
  <c r="F12" i="15"/>
  <c r="G12" i="15" s="1"/>
  <c r="H12" i="15" s="1"/>
  <c r="F11" i="15"/>
  <c r="G11" i="15" s="1"/>
  <c r="H11" i="15" s="1"/>
  <c r="F10" i="15"/>
  <c r="G10" i="15" s="1"/>
  <c r="H10" i="15" s="1"/>
  <c r="R19" i="8" l="1"/>
  <c r="Q19" i="8" s="1"/>
  <c r="R22" i="8"/>
  <c r="R16" i="8"/>
  <c r="Q16" i="8" s="1"/>
  <c r="R21" i="8"/>
  <c r="Q21" i="8" s="1"/>
  <c r="P21" i="8"/>
  <c r="N21" i="8" s="1"/>
  <c r="M21" i="8" s="1"/>
  <c r="P13" i="8"/>
  <c r="N13" i="8" s="1"/>
  <c r="M13" i="8" s="1"/>
  <c r="T17" i="8"/>
  <c r="R17" i="8" s="1"/>
  <c r="Q17" i="8" s="1"/>
  <c r="P18" i="8"/>
  <c r="N18" i="8" s="1"/>
  <c r="M18" i="8" s="1"/>
  <c r="T14" i="8"/>
  <c r="N14" i="8"/>
  <c r="M14" i="8" s="1"/>
  <c r="R13" i="8"/>
  <c r="Q13" i="8" s="1"/>
  <c r="P11" i="8"/>
  <c r="N11" i="8" s="1"/>
  <c r="M11" i="8" s="1"/>
  <c r="R15" i="8"/>
  <c r="Q15" i="8" s="1"/>
  <c r="R20" i="8"/>
  <c r="Q20" i="8" s="1"/>
  <c r="R12" i="8"/>
  <c r="Q12" i="8" s="1"/>
  <c r="S11" i="8"/>
  <c r="R11" i="8" s="1"/>
  <c r="Q11" i="8" s="1"/>
  <c r="P20" i="8"/>
  <c r="N20" i="8" s="1"/>
  <c r="M20" i="8" s="1"/>
  <c r="P16" i="8"/>
  <c r="N16" i="8" s="1"/>
  <c r="M16" i="8" s="1"/>
  <c r="P12" i="8"/>
  <c r="N12" i="8" s="1"/>
  <c r="M12" i="8" s="1"/>
  <c r="S18" i="8"/>
  <c r="R18" i="8" s="1"/>
  <c r="Q18" i="8" s="1"/>
  <c r="S14" i="8"/>
  <c r="N17" i="8"/>
  <c r="M17" i="8" s="1"/>
  <c r="P19" i="8"/>
  <c r="N19" i="8" s="1"/>
  <c r="M19" i="8" s="1"/>
  <c r="P15" i="8"/>
  <c r="N15" i="8" s="1"/>
  <c r="M15" i="8" s="1"/>
  <c r="R14" i="8" l="1"/>
  <c r="Q14" i="8" s="1"/>
  <c r="O23" i="8"/>
  <c r="AC71" i="8"/>
  <c r="AB70" i="8"/>
  <c r="L69" i="8"/>
  <c r="L68" i="8"/>
  <c r="L67" i="8"/>
  <c r="L64" i="8"/>
  <c r="L63" i="8"/>
  <c r="L61" i="8"/>
  <c r="L62" i="8"/>
  <c r="L65" i="8"/>
  <c r="L60" i="8"/>
  <c r="L57" i="8"/>
  <c r="L56" i="8"/>
  <c r="L58" i="8"/>
  <c r="L55" i="8"/>
  <c r="L52" i="8"/>
  <c r="L51" i="8"/>
  <c r="L53" i="8"/>
  <c r="L50" i="8"/>
  <c r="L48" i="8"/>
  <c r="L45" i="8"/>
  <c r="L44" i="8"/>
  <c r="L43" i="8"/>
  <c r="L42" i="8"/>
  <c r="L40" i="8"/>
  <c r="L39" i="8"/>
  <c r="L36" i="8"/>
  <c r="L37" i="8"/>
  <c r="L38" i="8"/>
  <c r="L41" i="8"/>
  <c r="L47" i="8"/>
  <c r="L49" i="8"/>
  <c r="L35" i="8"/>
  <c r="L33" i="8"/>
  <c r="L32" i="8"/>
  <c r="L31" i="8"/>
  <c r="L30" i="8"/>
  <c r="L28" i="8"/>
  <c r="L27" i="8"/>
  <c r="L24" i="8"/>
  <c r="L25" i="8"/>
  <c r="L26" i="8"/>
  <c r="L23" i="8"/>
  <c r="C25" i="10"/>
  <c r="D23" i="10"/>
  <c r="D21" i="10"/>
  <c r="D19" i="10"/>
  <c r="D15" i="10"/>
  <c r="D13" i="10"/>
  <c r="O27" i="8"/>
  <c r="S27" i="8" s="1"/>
  <c r="O28" i="8"/>
  <c r="S28" i="8" s="1"/>
  <c r="O29" i="8"/>
  <c r="S29" i="8" s="1"/>
  <c r="O30" i="8"/>
  <c r="O31" i="8"/>
  <c r="S31" i="8" s="1"/>
  <c r="O32" i="8"/>
  <c r="S32" i="8" s="1"/>
  <c r="O33" i="8"/>
  <c r="S33" i="8" s="1"/>
  <c r="O34" i="8"/>
  <c r="O35" i="8"/>
  <c r="S35" i="8" s="1"/>
  <c r="O36" i="8"/>
  <c r="S36" i="8" s="1"/>
  <c r="O37" i="8"/>
  <c r="S37" i="8" s="1"/>
  <c r="O38" i="8"/>
  <c r="O39" i="8"/>
  <c r="S39" i="8" s="1"/>
  <c r="O40" i="8"/>
  <c r="S40" i="8" s="1"/>
  <c r="O41" i="8"/>
  <c r="S41" i="8" s="1"/>
  <c r="O42" i="8"/>
  <c r="O43" i="8"/>
  <c r="S43" i="8" s="1"/>
  <c r="O44" i="8"/>
  <c r="S44" i="8" s="1"/>
  <c r="O45" i="8"/>
  <c r="S45" i="8" s="1"/>
  <c r="O46" i="8"/>
  <c r="O47" i="8"/>
  <c r="S47" i="8" s="1"/>
  <c r="O48" i="8"/>
  <c r="S48" i="8" s="1"/>
  <c r="O49" i="8"/>
  <c r="S49" i="8" s="1"/>
  <c r="O50" i="8"/>
  <c r="O51" i="8"/>
  <c r="S51" i="8" s="1"/>
  <c r="O52" i="8"/>
  <c r="S52" i="8" s="1"/>
  <c r="O53" i="8"/>
  <c r="S53" i="8" s="1"/>
  <c r="O54" i="8"/>
  <c r="O55" i="8"/>
  <c r="S55" i="8" s="1"/>
  <c r="O56" i="8"/>
  <c r="S56" i="8" s="1"/>
  <c r="O57" i="8"/>
  <c r="S57" i="8" s="1"/>
  <c r="O58" i="8"/>
  <c r="O59" i="8"/>
  <c r="S59" i="8" s="1"/>
  <c r="O60" i="8"/>
  <c r="S60" i="8" s="1"/>
  <c r="O61" i="8"/>
  <c r="S61" i="8" s="1"/>
  <c r="O62" i="8"/>
  <c r="O63" i="8"/>
  <c r="S63" i="8" s="1"/>
  <c r="O64" i="8"/>
  <c r="S64" i="8" s="1"/>
  <c r="O65" i="8"/>
  <c r="S65" i="8" s="1"/>
  <c r="O66" i="8"/>
  <c r="O67" i="8"/>
  <c r="S67" i="8" s="1"/>
  <c r="O68" i="8"/>
  <c r="S68" i="8" s="1"/>
  <c r="O69" i="8"/>
  <c r="S69" i="8" s="1"/>
  <c r="O24" i="8"/>
  <c r="O25" i="8"/>
  <c r="S25" i="8" s="1"/>
  <c r="O26" i="8"/>
  <c r="S26" i="8" s="1"/>
  <c r="T24" i="8"/>
  <c r="T24" i="17" s="1"/>
  <c r="R24" i="17" s="1"/>
  <c r="Q24" i="17" s="1"/>
  <c r="P25" i="8"/>
  <c r="P26" i="8"/>
  <c r="P27" i="8"/>
  <c r="P28" i="8"/>
  <c r="T29" i="8"/>
  <c r="T29" i="17" s="1"/>
  <c r="R29" i="17" s="1"/>
  <c r="Q29" i="17" s="1"/>
  <c r="T30" i="8"/>
  <c r="T30" i="17" s="1"/>
  <c r="R30" i="17" s="1"/>
  <c r="Q30" i="17" s="1"/>
  <c r="P31" i="8"/>
  <c r="P32" i="8"/>
  <c r="T33" i="8"/>
  <c r="T33" i="17" s="1"/>
  <c r="R33" i="17" s="1"/>
  <c r="Q33" i="17" s="1"/>
  <c r="T34" i="8"/>
  <c r="T34" i="17" s="1"/>
  <c r="R34" i="17" s="1"/>
  <c r="Q34" i="17" s="1"/>
  <c r="P35" i="8"/>
  <c r="P36" i="8"/>
  <c r="T37" i="8"/>
  <c r="T37" i="17" s="1"/>
  <c r="R37" i="17" s="1"/>
  <c r="Q37" i="17" s="1"/>
  <c r="T38" i="8"/>
  <c r="T38" i="17" s="1"/>
  <c r="R38" i="17" s="1"/>
  <c r="Q38" i="17" s="1"/>
  <c r="P39" i="8"/>
  <c r="P40" i="8"/>
  <c r="T41" i="8"/>
  <c r="T41" i="17" s="1"/>
  <c r="R41" i="17" s="1"/>
  <c r="Q41" i="17" s="1"/>
  <c r="T42" i="8"/>
  <c r="T42" i="17" s="1"/>
  <c r="R42" i="17" s="1"/>
  <c r="Q42" i="17" s="1"/>
  <c r="P43" i="8"/>
  <c r="P44" i="8"/>
  <c r="T45" i="8"/>
  <c r="T45" i="17" s="1"/>
  <c r="R45" i="17" s="1"/>
  <c r="Q45" i="17" s="1"/>
  <c r="T46" i="8"/>
  <c r="T46" i="17" s="1"/>
  <c r="R46" i="17" s="1"/>
  <c r="Q46" i="17" s="1"/>
  <c r="P47" i="8"/>
  <c r="P48" i="8"/>
  <c r="T49" i="8"/>
  <c r="T49" i="17" s="1"/>
  <c r="R49" i="17" s="1"/>
  <c r="Q49" i="17" s="1"/>
  <c r="T50" i="8"/>
  <c r="T50" i="17" s="1"/>
  <c r="R50" i="17" s="1"/>
  <c r="Q50" i="17" s="1"/>
  <c r="P51" i="8"/>
  <c r="P52" i="8"/>
  <c r="T53" i="8"/>
  <c r="T53" i="17" s="1"/>
  <c r="R53" i="17" s="1"/>
  <c r="Q53" i="17" s="1"/>
  <c r="T54" i="8"/>
  <c r="T54" i="17" s="1"/>
  <c r="R54" i="17" s="1"/>
  <c r="Q54" i="17" s="1"/>
  <c r="P55" i="8"/>
  <c r="P56" i="8"/>
  <c r="T57" i="8"/>
  <c r="T57" i="17" s="1"/>
  <c r="R57" i="17" s="1"/>
  <c r="Q57" i="17" s="1"/>
  <c r="T58" i="8"/>
  <c r="T58" i="17" s="1"/>
  <c r="R58" i="17" s="1"/>
  <c r="Q58" i="17" s="1"/>
  <c r="P59" i="8"/>
  <c r="P60" i="8"/>
  <c r="T61" i="8"/>
  <c r="T61" i="17" s="1"/>
  <c r="R61" i="17" s="1"/>
  <c r="Q61" i="17" s="1"/>
  <c r="T62" i="8"/>
  <c r="T62" i="17" s="1"/>
  <c r="R62" i="17" s="1"/>
  <c r="Q62" i="17" s="1"/>
  <c r="P63" i="8"/>
  <c r="P64" i="8"/>
  <c r="T65" i="8"/>
  <c r="T65" i="17" s="1"/>
  <c r="R65" i="17" s="1"/>
  <c r="Q65" i="17" s="1"/>
  <c r="T66" i="8"/>
  <c r="T66" i="17" s="1"/>
  <c r="R66" i="17" s="1"/>
  <c r="Q66" i="17" s="1"/>
  <c r="P67" i="8"/>
  <c r="P68" i="8"/>
  <c r="T69" i="8"/>
  <c r="T69" i="17" s="1"/>
  <c r="R69" i="17" s="1"/>
  <c r="Q69" i="17" s="1"/>
  <c r="T23" i="8"/>
  <c r="T23" i="17" s="1"/>
  <c r="R23" i="17" s="1"/>
  <c r="Q23" i="17" s="1"/>
  <c r="I68" i="9"/>
  <c r="H68" i="9"/>
  <c r="G66" i="9"/>
  <c r="H66" i="9" s="1"/>
  <c r="I66" i="9" s="1"/>
  <c r="AB69" i="8" s="1"/>
  <c r="G65" i="9"/>
  <c r="H65" i="9" s="1"/>
  <c r="I65" i="9" s="1"/>
  <c r="AB68" i="8" s="1"/>
  <c r="G64" i="9"/>
  <c r="H64" i="9" s="1"/>
  <c r="I64" i="9" s="1"/>
  <c r="AB67" i="8" s="1"/>
  <c r="G63" i="9"/>
  <c r="H63" i="9" s="1"/>
  <c r="I63" i="9" s="1"/>
  <c r="AB66" i="8" s="1"/>
  <c r="G62" i="9"/>
  <c r="H62" i="9" s="1"/>
  <c r="I62" i="9" s="1"/>
  <c r="AB65" i="8" s="1"/>
  <c r="G61" i="9"/>
  <c r="H61" i="9" s="1"/>
  <c r="I61" i="9" s="1"/>
  <c r="AB64" i="8" s="1"/>
  <c r="G60" i="9"/>
  <c r="H60" i="9" s="1"/>
  <c r="I60" i="9" s="1"/>
  <c r="AB63" i="8" s="1"/>
  <c r="G59" i="9"/>
  <c r="H59" i="9" s="1"/>
  <c r="I59" i="9" s="1"/>
  <c r="AB62" i="8" s="1"/>
  <c r="G58" i="9"/>
  <c r="H58" i="9" s="1"/>
  <c r="I58" i="9" s="1"/>
  <c r="AB61" i="8" s="1"/>
  <c r="G57" i="9"/>
  <c r="H57" i="9" s="1"/>
  <c r="I57" i="9" s="1"/>
  <c r="AB60" i="8" s="1"/>
  <c r="G56" i="9"/>
  <c r="H56" i="9" s="1"/>
  <c r="I56" i="9" s="1"/>
  <c r="AB59" i="8" s="1"/>
  <c r="G55" i="9"/>
  <c r="H55" i="9" s="1"/>
  <c r="I55" i="9" s="1"/>
  <c r="AB58" i="8" s="1"/>
  <c r="G54" i="9"/>
  <c r="H54" i="9" s="1"/>
  <c r="I54" i="9" s="1"/>
  <c r="AB57" i="8" s="1"/>
  <c r="G53" i="9"/>
  <c r="H53" i="9" s="1"/>
  <c r="I53" i="9" s="1"/>
  <c r="AB56" i="8" s="1"/>
  <c r="G52" i="9"/>
  <c r="H52" i="9" s="1"/>
  <c r="I52" i="9" s="1"/>
  <c r="AB55" i="8" s="1"/>
  <c r="G51" i="9"/>
  <c r="H51" i="9" s="1"/>
  <c r="I51" i="9" s="1"/>
  <c r="AB54" i="8" s="1"/>
  <c r="G50" i="9"/>
  <c r="H50" i="9" s="1"/>
  <c r="I50" i="9" s="1"/>
  <c r="AB53" i="8" s="1"/>
  <c r="G49" i="9"/>
  <c r="H49" i="9" s="1"/>
  <c r="I49" i="9" s="1"/>
  <c r="AB52" i="8" s="1"/>
  <c r="G48" i="9"/>
  <c r="H48" i="9" s="1"/>
  <c r="I48" i="9" s="1"/>
  <c r="AB51" i="8" s="1"/>
  <c r="G47" i="9"/>
  <c r="H47" i="9" s="1"/>
  <c r="I47" i="9" s="1"/>
  <c r="AB50" i="8" s="1"/>
  <c r="G46" i="9"/>
  <c r="H46" i="9" s="1"/>
  <c r="I46" i="9" s="1"/>
  <c r="AB49" i="8" s="1"/>
  <c r="G45" i="9"/>
  <c r="H45" i="9" s="1"/>
  <c r="I45" i="9" s="1"/>
  <c r="AB48" i="8" s="1"/>
  <c r="G44" i="9"/>
  <c r="H44" i="9" s="1"/>
  <c r="I44" i="9" s="1"/>
  <c r="AB47" i="8" s="1"/>
  <c r="G43" i="9"/>
  <c r="H43" i="9" s="1"/>
  <c r="I43" i="9" s="1"/>
  <c r="AB46" i="8" s="1"/>
  <c r="G42" i="9"/>
  <c r="H42" i="9" s="1"/>
  <c r="I42" i="9" s="1"/>
  <c r="AB45" i="8" s="1"/>
  <c r="G41" i="9"/>
  <c r="H41" i="9" s="1"/>
  <c r="I41" i="9" s="1"/>
  <c r="AB44" i="8" s="1"/>
  <c r="G40" i="9"/>
  <c r="H40" i="9" s="1"/>
  <c r="I40" i="9" s="1"/>
  <c r="AB43" i="8" s="1"/>
  <c r="G39" i="9"/>
  <c r="H39" i="9" s="1"/>
  <c r="I39" i="9" s="1"/>
  <c r="AB42" i="8" s="1"/>
  <c r="G38" i="9"/>
  <c r="H38" i="9" s="1"/>
  <c r="I38" i="9" s="1"/>
  <c r="AB41" i="8" s="1"/>
  <c r="G37" i="9"/>
  <c r="H37" i="9" s="1"/>
  <c r="I37" i="9" s="1"/>
  <c r="AB40" i="8" s="1"/>
  <c r="G36" i="9"/>
  <c r="H36" i="9" s="1"/>
  <c r="I36" i="9" s="1"/>
  <c r="AB39" i="8" s="1"/>
  <c r="G35" i="9"/>
  <c r="H35" i="9" s="1"/>
  <c r="I35" i="9" s="1"/>
  <c r="AB38" i="8" s="1"/>
  <c r="G34" i="9"/>
  <c r="H34" i="9" s="1"/>
  <c r="I34" i="9" s="1"/>
  <c r="AB37" i="8" s="1"/>
  <c r="G33" i="9"/>
  <c r="H33" i="9" s="1"/>
  <c r="I33" i="9" s="1"/>
  <c r="AB36" i="8" s="1"/>
  <c r="G32" i="9"/>
  <c r="H32" i="9" s="1"/>
  <c r="I32" i="9" s="1"/>
  <c r="AB35" i="8" s="1"/>
  <c r="G31" i="9"/>
  <c r="H31" i="9" s="1"/>
  <c r="I31" i="9" s="1"/>
  <c r="AB34" i="8" s="1"/>
  <c r="G30" i="9"/>
  <c r="H30" i="9" s="1"/>
  <c r="I30" i="9" s="1"/>
  <c r="AB33" i="8" s="1"/>
  <c r="G29" i="9"/>
  <c r="H29" i="9" s="1"/>
  <c r="I29" i="9" s="1"/>
  <c r="AB32" i="8" s="1"/>
  <c r="G28" i="9"/>
  <c r="H28" i="9" s="1"/>
  <c r="I28" i="9" s="1"/>
  <c r="AB31" i="8" s="1"/>
  <c r="G27" i="9"/>
  <c r="H27" i="9" s="1"/>
  <c r="I27" i="9" s="1"/>
  <c r="AB30" i="8" s="1"/>
  <c r="G26" i="9"/>
  <c r="H26" i="9" s="1"/>
  <c r="I26" i="9" s="1"/>
  <c r="AB29" i="8" s="1"/>
  <c r="G25" i="9"/>
  <c r="H25" i="9" s="1"/>
  <c r="I25" i="9" s="1"/>
  <c r="AB28" i="8" s="1"/>
  <c r="G24" i="9"/>
  <c r="H24" i="9" s="1"/>
  <c r="I24" i="9" s="1"/>
  <c r="AB27" i="8" s="1"/>
  <c r="G23" i="9"/>
  <c r="H23" i="9" s="1"/>
  <c r="I23" i="9" s="1"/>
  <c r="AB26" i="8" s="1"/>
  <c r="G22" i="9"/>
  <c r="H22" i="9" s="1"/>
  <c r="I22" i="9" s="1"/>
  <c r="AB25" i="8" s="1"/>
  <c r="G21" i="9"/>
  <c r="H21" i="9" s="1"/>
  <c r="I21" i="9" s="1"/>
  <c r="AB24" i="8" s="1"/>
  <c r="G20" i="9"/>
  <c r="H20" i="9" s="1"/>
  <c r="I20" i="9" s="1"/>
  <c r="AB23" i="8" s="1"/>
  <c r="G19" i="9"/>
  <c r="H19" i="9" s="1"/>
  <c r="I19" i="9" s="1"/>
  <c r="G18" i="9"/>
  <c r="H18" i="9" s="1"/>
  <c r="I18" i="9" s="1"/>
  <c r="G17" i="9"/>
  <c r="H17" i="9" s="1"/>
  <c r="I17" i="9" s="1"/>
  <c r="G16" i="9"/>
  <c r="H16" i="9" s="1"/>
  <c r="I16" i="9" s="1"/>
  <c r="G15" i="9"/>
  <c r="H15" i="9" s="1"/>
  <c r="I15" i="9" s="1"/>
  <c r="G14" i="9"/>
  <c r="H14" i="9" s="1"/>
  <c r="I14" i="9" s="1"/>
  <c r="G13" i="9"/>
  <c r="H13" i="9" s="1"/>
  <c r="I13" i="9" s="1"/>
  <c r="G12" i="9"/>
  <c r="H12" i="9" s="1"/>
  <c r="I12" i="9" s="1"/>
  <c r="G11" i="9"/>
  <c r="H11" i="9" s="1"/>
  <c r="I11" i="9" s="1"/>
  <c r="G10" i="9"/>
  <c r="H10" i="9" s="1"/>
  <c r="I10" i="9" s="1"/>
  <c r="G9" i="9"/>
  <c r="H9" i="9" s="1"/>
  <c r="I9" i="9" s="1"/>
  <c r="G8" i="9"/>
  <c r="H8" i="9" s="1"/>
  <c r="I8" i="9" s="1"/>
  <c r="S23" i="8" l="1"/>
  <c r="R23" i="8" s="1"/>
  <c r="Q23" i="8" s="1"/>
  <c r="AC23" i="8" s="1"/>
  <c r="P23" i="8"/>
  <c r="N23" i="8" s="1"/>
  <c r="T25" i="8"/>
  <c r="N26" i="8"/>
  <c r="M26" i="8" s="1"/>
  <c r="R69" i="8"/>
  <c r="Q69" i="8" s="1"/>
  <c r="AC69" i="8" s="1"/>
  <c r="R65" i="8"/>
  <c r="Q65" i="8" s="1"/>
  <c r="AC65" i="8" s="1"/>
  <c r="R61" i="8"/>
  <c r="Q61" i="8" s="1"/>
  <c r="AC61" i="8" s="1"/>
  <c r="R57" i="8"/>
  <c r="Q57" i="8" s="1"/>
  <c r="AC57" i="8" s="1"/>
  <c r="R53" i="8"/>
  <c r="Q53" i="8" s="1"/>
  <c r="AC53" i="8" s="1"/>
  <c r="R49" i="8"/>
  <c r="Q49" i="8" s="1"/>
  <c r="AC49" i="8" s="1"/>
  <c r="R45" i="8"/>
  <c r="Q45" i="8" s="1"/>
  <c r="AC45" i="8" s="1"/>
  <c r="R41" i="8"/>
  <c r="Q41" i="8" s="1"/>
  <c r="AC41" i="8" s="1"/>
  <c r="R37" i="8"/>
  <c r="Q37" i="8" s="1"/>
  <c r="AC37" i="8" s="1"/>
  <c r="R33" i="8"/>
  <c r="Q33" i="8" s="1"/>
  <c r="AC33" i="8" s="1"/>
  <c r="R29" i="8"/>
  <c r="Q29" i="8" s="1"/>
  <c r="AC29" i="8" s="1"/>
  <c r="T26" i="8"/>
  <c r="T68" i="8"/>
  <c r="T64" i="8"/>
  <c r="T60" i="8"/>
  <c r="T56" i="8"/>
  <c r="T52" i="8"/>
  <c r="T48" i="8"/>
  <c r="T44" i="8"/>
  <c r="T40" i="8"/>
  <c r="T36" i="8"/>
  <c r="T32" i="8"/>
  <c r="T28" i="8"/>
  <c r="P24" i="8"/>
  <c r="N24" i="8" s="1"/>
  <c r="M24" i="8" s="1"/>
  <c r="P66" i="8"/>
  <c r="N66" i="8" s="1"/>
  <c r="M66" i="8" s="1"/>
  <c r="P62" i="8"/>
  <c r="N62" i="8" s="1"/>
  <c r="M62" i="8" s="1"/>
  <c r="P58" i="8"/>
  <c r="N58" i="8" s="1"/>
  <c r="M58" i="8" s="1"/>
  <c r="P54" i="8"/>
  <c r="N54" i="8" s="1"/>
  <c r="M54" i="8" s="1"/>
  <c r="P50" i="8"/>
  <c r="N50" i="8" s="1"/>
  <c r="M50" i="8" s="1"/>
  <c r="P46" i="8"/>
  <c r="N46" i="8" s="1"/>
  <c r="M46" i="8" s="1"/>
  <c r="P42" i="8"/>
  <c r="N42" i="8" s="1"/>
  <c r="M42" i="8" s="1"/>
  <c r="P38" i="8"/>
  <c r="N38" i="8" s="1"/>
  <c r="M38" i="8" s="1"/>
  <c r="P34" i="8"/>
  <c r="N34" i="8" s="1"/>
  <c r="M34" i="8" s="1"/>
  <c r="P30" i="8"/>
  <c r="N30" i="8" s="1"/>
  <c r="M30" i="8" s="1"/>
  <c r="N27" i="8"/>
  <c r="M27" i="8" s="1"/>
  <c r="S66" i="8"/>
  <c r="R66" i="8" s="1"/>
  <c r="Q66" i="8" s="1"/>
  <c r="AC66" i="8" s="1"/>
  <c r="S62" i="8"/>
  <c r="R62" i="8" s="1"/>
  <c r="Q62" i="8" s="1"/>
  <c r="AC62" i="8" s="1"/>
  <c r="S58" i="8"/>
  <c r="R58" i="8" s="1"/>
  <c r="Q58" i="8" s="1"/>
  <c r="AC58" i="8" s="1"/>
  <c r="S54" i="8"/>
  <c r="R54" i="8" s="1"/>
  <c r="Q54" i="8" s="1"/>
  <c r="AC54" i="8" s="1"/>
  <c r="S50" i="8"/>
  <c r="R50" i="8" s="1"/>
  <c r="Q50" i="8" s="1"/>
  <c r="AC50" i="8" s="1"/>
  <c r="S46" i="8"/>
  <c r="R46" i="8" s="1"/>
  <c r="Q46" i="8" s="1"/>
  <c r="AC46" i="8" s="1"/>
  <c r="S42" i="8"/>
  <c r="R42" i="8" s="1"/>
  <c r="Q42" i="8" s="1"/>
  <c r="AC42" i="8" s="1"/>
  <c r="S38" i="8"/>
  <c r="R38" i="8" s="1"/>
  <c r="Q38" i="8" s="1"/>
  <c r="AC38" i="8" s="1"/>
  <c r="S34" i="8"/>
  <c r="R34" i="8" s="1"/>
  <c r="Q34" i="8" s="1"/>
  <c r="AC34" i="8" s="1"/>
  <c r="S30" i="8"/>
  <c r="R30" i="8" s="1"/>
  <c r="Q30" i="8" s="1"/>
  <c r="AC30" i="8" s="1"/>
  <c r="T67" i="8"/>
  <c r="T63" i="8"/>
  <c r="T55" i="8"/>
  <c r="T51" i="8"/>
  <c r="T47" i="8"/>
  <c r="T43" i="8"/>
  <c r="T39" i="8"/>
  <c r="T35" i="8"/>
  <c r="T31" i="8"/>
  <c r="T27" i="8"/>
  <c r="P69" i="8"/>
  <c r="N69" i="8" s="1"/>
  <c r="M69" i="8" s="1"/>
  <c r="P65" i="8"/>
  <c r="N65" i="8" s="1"/>
  <c r="M65" i="8" s="1"/>
  <c r="P61" i="8"/>
  <c r="N61" i="8" s="1"/>
  <c r="M61" i="8" s="1"/>
  <c r="P57" i="8"/>
  <c r="N57" i="8" s="1"/>
  <c r="M57" i="8" s="1"/>
  <c r="P53" i="8"/>
  <c r="N53" i="8" s="1"/>
  <c r="M53" i="8" s="1"/>
  <c r="P49" i="8"/>
  <c r="N49" i="8" s="1"/>
  <c r="M49" i="8" s="1"/>
  <c r="P45" i="8"/>
  <c r="N45" i="8" s="1"/>
  <c r="M45" i="8" s="1"/>
  <c r="P41" i="8"/>
  <c r="N41" i="8" s="1"/>
  <c r="M41" i="8" s="1"/>
  <c r="P37" i="8"/>
  <c r="N37" i="8" s="1"/>
  <c r="M37" i="8" s="1"/>
  <c r="P33" i="8"/>
  <c r="N33" i="8" s="1"/>
  <c r="M33" i="8" s="1"/>
  <c r="P29" i="8"/>
  <c r="N29" i="8" s="1"/>
  <c r="M29" i="8" s="1"/>
  <c r="N68" i="8"/>
  <c r="M68" i="8" s="1"/>
  <c r="N64" i="8"/>
  <c r="N60" i="8"/>
  <c r="M60" i="8" s="1"/>
  <c r="N56" i="8"/>
  <c r="M56" i="8" s="1"/>
  <c r="N52" i="8"/>
  <c r="M52" i="8" s="1"/>
  <c r="N48" i="8"/>
  <c r="M48" i="8" s="1"/>
  <c r="N44" i="8"/>
  <c r="M44" i="8" s="1"/>
  <c r="N40" i="8"/>
  <c r="M40" i="8" s="1"/>
  <c r="N36" i="8"/>
  <c r="M36" i="8" s="1"/>
  <c r="N32" i="8"/>
  <c r="M32" i="8" s="1"/>
  <c r="N28" i="8"/>
  <c r="M28" i="8" s="1"/>
  <c r="T59" i="8"/>
  <c r="S24" i="8"/>
  <c r="R24" i="8" s="1"/>
  <c r="Q24" i="8" s="1"/>
  <c r="AC24" i="8" s="1"/>
  <c r="N25" i="8"/>
  <c r="M25" i="8" s="1"/>
  <c r="N67" i="8"/>
  <c r="M67" i="8" s="1"/>
  <c r="N63" i="8"/>
  <c r="M63" i="8" s="1"/>
  <c r="N59" i="8"/>
  <c r="M59" i="8" s="1"/>
  <c r="N55" i="8"/>
  <c r="M55" i="8" s="1"/>
  <c r="N51" i="8"/>
  <c r="M51" i="8" s="1"/>
  <c r="N47" i="8"/>
  <c r="M47" i="8" s="1"/>
  <c r="N43" i="8"/>
  <c r="M43" i="8" s="1"/>
  <c r="N39" i="8"/>
  <c r="M39" i="8" s="1"/>
  <c r="N35" i="8"/>
  <c r="M35" i="8" s="1"/>
  <c r="N31" i="8"/>
  <c r="M31" i="8" s="1"/>
  <c r="R47" i="8" l="1"/>
  <c r="Q47" i="8" s="1"/>
  <c r="AC47" i="8" s="1"/>
  <c r="T47" i="17"/>
  <c r="R47" i="17" s="1"/>
  <c r="Q47" i="17" s="1"/>
  <c r="R40" i="8"/>
  <c r="Q40" i="8" s="1"/>
  <c r="AC40" i="8" s="1"/>
  <c r="T40" i="17"/>
  <c r="R40" i="17" s="1"/>
  <c r="Q40" i="17" s="1"/>
  <c r="R64" i="8"/>
  <c r="Q64" i="8" s="1"/>
  <c r="AC64" i="8" s="1"/>
  <c r="T64" i="17"/>
  <c r="R64" i="17" s="1"/>
  <c r="R44" i="8"/>
  <c r="Q44" i="8" s="1"/>
  <c r="AC44" i="8" s="1"/>
  <c r="T44" i="17"/>
  <c r="R44" i="17" s="1"/>
  <c r="Q44" i="17" s="1"/>
  <c r="R68" i="8"/>
  <c r="Q68" i="8" s="1"/>
  <c r="AC68" i="8" s="1"/>
  <c r="T68" i="17"/>
  <c r="R68" i="17" s="1"/>
  <c r="Q68" i="17" s="1"/>
  <c r="R59" i="8"/>
  <c r="Q59" i="8" s="1"/>
  <c r="AC59" i="8" s="1"/>
  <c r="T59" i="17"/>
  <c r="R59" i="17" s="1"/>
  <c r="Q59" i="17" s="1"/>
  <c r="R31" i="8"/>
  <c r="Q31" i="8" s="1"/>
  <c r="AC31" i="8" s="1"/>
  <c r="T31" i="17"/>
  <c r="R31" i="17" s="1"/>
  <c r="Q31" i="17" s="1"/>
  <c r="R55" i="8"/>
  <c r="Q55" i="8" s="1"/>
  <c r="AC55" i="8" s="1"/>
  <c r="T55" i="17"/>
  <c r="R55" i="17" s="1"/>
  <c r="Q55" i="17" s="1"/>
  <c r="R48" i="8"/>
  <c r="Q48" i="8" s="1"/>
  <c r="AC48" i="8" s="1"/>
  <c r="T48" i="17"/>
  <c r="R48" i="17" s="1"/>
  <c r="Q48" i="17" s="1"/>
  <c r="R26" i="8"/>
  <c r="Q26" i="8" s="1"/>
  <c r="AC26" i="8" s="1"/>
  <c r="T26" i="17"/>
  <c r="R26" i="17" s="1"/>
  <c r="Q26" i="17" s="1"/>
  <c r="R28" i="8"/>
  <c r="Q28" i="8" s="1"/>
  <c r="AC28" i="8" s="1"/>
  <c r="T28" i="17"/>
  <c r="R28" i="17" s="1"/>
  <c r="Q28" i="17" s="1"/>
  <c r="R52" i="8"/>
  <c r="Q52" i="8" s="1"/>
  <c r="AC52" i="8" s="1"/>
  <c r="T52" i="17"/>
  <c r="R52" i="17" s="1"/>
  <c r="Q52" i="17" s="1"/>
  <c r="R25" i="8"/>
  <c r="Q25" i="8" s="1"/>
  <c r="AC25" i="8" s="1"/>
  <c r="T25" i="17"/>
  <c r="R25" i="17" s="1"/>
  <c r="Q25" i="17" s="1"/>
  <c r="R39" i="8"/>
  <c r="Q39" i="8" s="1"/>
  <c r="AC39" i="8" s="1"/>
  <c r="T39" i="17"/>
  <c r="R39" i="17" s="1"/>
  <c r="Q39" i="17" s="1"/>
  <c r="R67" i="8"/>
  <c r="Q67" i="8" s="1"/>
  <c r="AC67" i="8" s="1"/>
  <c r="T67" i="17"/>
  <c r="R67" i="17" s="1"/>
  <c r="Q67" i="17" s="1"/>
  <c r="R32" i="8"/>
  <c r="Q32" i="8" s="1"/>
  <c r="AC32" i="8" s="1"/>
  <c r="T32" i="17"/>
  <c r="R32" i="17" s="1"/>
  <c r="Q32" i="17" s="1"/>
  <c r="R56" i="8"/>
  <c r="Q56" i="8" s="1"/>
  <c r="AC56" i="8" s="1"/>
  <c r="T56" i="17"/>
  <c r="R56" i="17" s="1"/>
  <c r="Q56" i="17" s="1"/>
  <c r="R27" i="8"/>
  <c r="Q27" i="8" s="1"/>
  <c r="AC27" i="8" s="1"/>
  <c r="T27" i="17"/>
  <c r="R27" i="17" s="1"/>
  <c r="Q27" i="17" s="1"/>
  <c r="R51" i="8"/>
  <c r="Q51" i="8" s="1"/>
  <c r="AC51" i="8" s="1"/>
  <c r="T51" i="17"/>
  <c r="R51" i="17" s="1"/>
  <c r="Q51" i="17" s="1"/>
  <c r="R35" i="8"/>
  <c r="Q35" i="8" s="1"/>
  <c r="AC35" i="8" s="1"/>
  <c r="T35" i="17"/>
  <c r="R35" i="17" s="1"/>
  <c r="Q35" i="17" s="1"/>
  <c r="R63" i="8"/>
  <c r="Q63" i="8" s="1"/>
  <c r="AC63" i="8" s="1"/>
  <c r="T63" i="17"/>
  <c r="R63" i="17" s="1"/>
  <c r="Q63" i="17" s="1"/>
  <c r="R43" i="8"/>
  <c r="Q43" i="8" s="1"/>
  <c r="AC43" i="8" s="1"/>
  <c r="T43" i="17"/>
  <c r="R43" i="17" s="1"/>
  <c r="Q43" i="17" s="1"/>
  <c r="R36" i="8"/>
  <c r="Q36" i="8" s="1"/>
  <c r="AC36" i="8" s="1"/>
  <c r="T36" i="17"/>
  <c r="R36" i="17" s="1"/>
  <c r="Q36" i="17" s="1"/>
  <c r="R60" i="8"/>
  <c r="Q60" i="8" s="1"/>
  <c r="AC60" i="8" s="1"/>
  <c r="T60" i="17"/>
  <c r="R60" i="17" s="1"/>
  <c r="Q60" i="17" s="1"/>
  <c r="M64" i="8"/>
  <c r="N70" i="8"/>
  <c r="M70" i="8" s="1"/>
  <c r="M23" i="8"/>
  <c r="AL11" i="16"/>
  <c r="AM11" i="16" s="1"/>
  <c r="R70" i="17" l="1"/>
  <c r="Q70" i="17" s="1"/>
  <c r="Q64" i="17"/>
  <c r="R70" i="8"/>
  <c r="Q70" i="8" s="1"/>
  <c r="AC70" i="8" s="1"/>
  <c r="AL12" i="16"/>
  <c r="AM12" i="16" s="1"/>
  <c r="AL13" i="16"/>
  <c r="AM13" i="16" l="1"/>
  <c r="AL14" i="16"/>
  <c r="AM14" i="16" s="1"/>
</calcChain>
</file>

<file path=xl/sharedStrings.xml><?xml version="1.0" encoding="utf-8"?>
<sst xmlns="http://schemas.openxmlformats.org/spreadsheetml/2006/main" count="699" uniqueCount="292">
  <si>
    <t>Số TT</t>
  </si>
  <si>
    <t>NỘI DUNG</t>
  </si>
  <si>
    <t>Đơn vị tính</t>
  </si>
  <si>
    <t>Định mức</t>
  </si>
  <si>
    <t>Đơn giá (đồng)</t>
  </si>
  <si>
    <t>Thành tiền</t>
  </si>
  <si>
    <t>Diễn giải</t>
  </si>
  <si>
    <t>A</t>
  </si>
  <si>
    <t>B</t>
  </si>
  <si>
    <t>4=2x3</t>
  </si>
  <si>
    <t>I</t>
  </si>
  <si>
    <t>Chi phí nhân công</t>
  </si>
  <si>
    <t>Tiền lương, tiền công, phụ cấp theo lương và các khoản đóng góp theo quy định của bộ phận trực tiếp và gián tiếp</t>
  </si>
  <si>
    <t>Phụ cấp Phẫu thuật, thủ thuật</t>
  </si>
  <si>
    <t>Các khoản phụ cấp theo lương để chi trả thù lao cho các chuyên gia, thầy thuốc giỏi làm việc tại đơn vị; chi phí đặc thù</t>
  </si>
  <si>
    <t>II</t>
  </si>
  <si>
    <t>Chi phí trực tiếp</t>
  </si>
  <si>
    <t>Chi phí thuốc, hóa chất, máu, chế phẩm máu và chi phí nguyên liệu, vật liệu, công cụ, dụng cụ trực tiếp</t>
  </si>
  <si>
    <t>Chi phí về nhiên liệu, năng lượng sử dụng gồm điện, nước, nhiên liệu, xử lý chất thải, vệ sinh môi trường, kiểm soát nhiễm khuẩn</t>
  </si>
  <si>
    <t>Các khoản chi phí trực tiếp khác</t>
  </si>
  <si>
    <t>III</t>
  </si>
  <si>
    <t>Chi phí quản lý</t>
  </si>
  <si>
    <t>IV</t>
  </si>
  <si>
    <t>Chi phí khấu hao</t>
  </si>
  <si>
    <t>Thiết bị trực tiếp</t>
  </si>
  <si>
    <t>Khấu hao các thiết bị phụ trợ</t>
  </si>
  <si>
    <t>Khấu hao cơ sở hạ tầng</t>
  </si>
  <si>
    <t> V</t>
  </si>
  <si>
    <t>Chi phí tích lũy hoặc lợi nhuận/ Nghĩa vụ tài chính (nếu có)</t>
  </si>
  <si>
    <t>Tổng chi phí (I+II+…+V)</t>
  </si>
  <si>
    <t>PHƯƠNG ÁN GIÁ - TỔNG HỢP CÁC CẤU PHẦN CHI PHÍ, NHÓM CHI PHÍ HÌNH THÀNH GIÁ CỦA MỘT DỊCH VỤ KHÁM BỆNH, CHỮA BỆNH</t>
  </si>
  <si>
    <t>Ghi chú</t>
  </si>
  <si>
    <t>Khi xây dựng giá viện phí không đề nghị các cơ cấu chi phí này</t>
  </si>
  <si>
    <t>STT</t>
  </si>
  <si>
    <t>Đề xuất mức giá (*)</t>
  </si>
  <si>
    <t>Danh mục khám chữa bệnh theo tên tại Thông tư 22</t>
  </si>
  <si>
    <t xml:space="preserve"> Thông tư 22/2023/TT-BYT ngày 17/11/2023 (theo mức lương 1,8 triệu đồng)</t>
  </si>
  <si>
    <t>Theo Văn bản số 3286/BYT-KHTC</t>
  </si>
  <si>
    <t>Lương theo mức 2,34</t>
  </si>
  <si>
    <t>II. Chi phí trực tiếp và phụ cấp</t>
  </si>
  <si>
    <t>Giá dịch vụ khám bệnh</t>
  </si>
  <si>
    <t>Bệnh viện hạng I</t>
  </si>
  <si>
    <t>Bệnh viện hạng II</t>
  </si>
  <si>
    <t>Bệnh viện hạng III</t>
  </si>
  <si>
    <t>Bệnh viện hạng IV</t>
  </si>
  <si>
    <t>Trạm Y tế</t>
  </si>
  <si>
    <t>Danh mục khám chữa bệnh theo tên tại VB 3286</t>
  </si>
  <si>
    <t>Lương theo mức 1,49</t>
  </si>
  <si>
    <t xml:space="preserve">Giá dịch vụ ngày giường </t>
  </si>
  <si>
    <t>Giá dịch vụ kỹ thuật</t>
  </si>
  <si>
    <t>Mức giá bao gồm chi phí trực tiếp, tiền lương 1,49 trđ</t>
  </si>
  <si>
    <t>Mức giá bao gồm chi phí trực tiếp, tiền lương 1,8 trđ</t>
  </si>
  <si>
    <t>Lương theo mức 1,8</t>
  </si>
  <si>
    <t>Mức giá bao gồm chi phí trực tiếp, tiền lương 1,8 trđ (làm tròn)</t>
  </si>
  <si>
    <t>Đơn vị tính: Đồng</t>
  </si>
  <si>
    <t>Mã tương đương</t>
  </si>
  <si>
    <t>Mã giá liên thông BHYT</t>
  </si>
  <si>
    <t>Tên chương theo TT 23/2024</t>
  </si>
  <si>
    <t>Mã kỹ thuật theo TT23/2024</t>
  </si>
  <si>
    <t>Danh mục kỹ thuật được cấp có thẩm quyền duyệt</t>
  </si>
  <si>
    <t xml:space="preserve">Danh mục xây dựng giá đợt này phải trùng với tên danh mục tại Thông tư 23/2024 và đã có mức giá tại Thông tư 22 </t>
  </si>
  <si>
    <t>TỔNG HỢP CÁC DANH MỤC KỸ THUẬT ĐỀ XUẤT XÂY DỰNG GIÁ</t>
  </si>
  <si>
    <t xml:space="preserve">PHỤ LỤC </t>
  </si>
  <si>
    <t>Danh mục kỹ thuật đã được áp giá tương đương tại TT22</t>
  </si>
  <si>
    <t>Danh mục kỹ thuật đề nghị phê duyệt giá</t>
  </si>
  <si>
    <t>Hội chẩn để xác định ca bệnh khó (chuyên gia/ca; Chỉ áp dụng đối với trường hợp mời chuyên gia đơn vị khác đến hội chẩn tại cơ sở khám, chữa bệnh).</t>
  </si>
  <si>
    <t>BỘ Y TẾ</t>
  </si>
  <si>
    <t>Phụ lục II</t>
  </si>
  <si>
    <t>GIÁ DỊCH VỤ NGÀY GIƯỜNG BỆNH</t>
  </si>
  <si>
    <t>Các loại dịch vụ</t>
  </si>
  <si>
    <t>Ngày điều trị Hồi sức tích cực (ICU)/ghép tạng hoặc ghép tủy hoặc ghép tế bào gốc</t>
  </si>
  <si>
    <t>Ngày giường bệnh Hồi sức cấp cứu</t>
  </si>
  <si>
    <t>Ngày giường bệnh Nội khoa:</t>
  </si>
  <si>
    <t>3.1</t>
  </si>
  <si>
    <r>
      <t xml:space="preserve">Loại 1: </t>
    </r>
    <r>
      <rPr>
        <sz val="13"/>
        <rFont val="Times New Roman"/>
        <family val="1"/>
      </rPr>
      <t xml:space="preserve">Các khoa: Truyền nhiễm, Hô hấp, Huyết học, Ung thư, Tim mạch, Tâm thần, Thần kinh, </t>
    </r>
    <r>
      <rPr>
        <b/>
        <sz val="13"/>
        <rFont val="Times New Roman"/>
        <family val="1"/>
      </rPr>
      <t>Lão,</t>
    </r>
    <r>
      <rPr>
        <sz val="13"/>
        <rFont val="Times New Roman"/>
        <family val="1"/>
      </rPr>
      <t xml:space="preserve"> Nhi, Tiêu hoá, Thận học, Nội tiết; Dị ứng (đối với bệnh nhân dị ứng thuốc nặng: Stevens Jonhson hoặc Lyell)</t>
    </r>
  </si>
  <si>
    <t>Các khoa trên thuộc Bệnh viện chuyên khoa trực thuộc Bộ Y tế tại Hà Nội và Thành phố Hồ Chí Minh</t>
  </si>
  <si>
    <t>3.2</t>
  </si>
  <si>
    <r>
      <t xml:space="preserve">Loại 2: </t>
    </r>
    <r>
      <rPr>
        <sz val="13"/>
        <rFont val="Times New Roman"/>
        <family val="1"/>
      </rPr>
      <t>Các Khoa: Cơ-Xương-Khớp, Da liễu, Dị ứng, Tai-Mũi-Họng, Mắt, Răng Hàm Mặt, Ngoại, Phụ -Sản không mổ; YHDT hoặc PHCN cho nhóm người bệnh tổn thương tủy sống, tai biến mạch máu não, chấn thương sọ não.</t>
    </r>
  </si>
  <si>
    <t>3.3</t>
  </si>
  <si>
    <r>
      <t>Loại 3:</t>
    </r>
    <r>
      <rPr>
        <sz val="13"/>
        <rFont val="Times New Roman"/>
        <family val="1"/>
      </rPr>
      <t xml:space="preserve"> Các khoa:  YHDT, Phục hồi chức năng</t>
    </r>
  </si>
  <si>
    <t xml:space="preserve">Ngày giường bệnh ngoại khoa, bỏng: </t>
  </si>
  <si>
    <t>4.1</t>
  </si>
  <si>
    <r>
      <t>Loại 1</t>
    </r>
    <r>
      <rPr>
        <sz val="13"/>
        <rFont val="Times New Roman"/>
        <family val="1"/>
      </rPr>
      <t>: Sau các phẫu thuật loại đặc biệt; Bỏng độ 3-4 trên 70% diện tích cơ thể</t>
    </r>
  </si>
  <si>
    <t>4.2</t>
  </si>
  <si>
    <r>
      <t>Loại 2:</t>
    </r>
    <r>
      <rPr>
        <sz val="13"/>
        <rFont val="Times New Roman"/>
        <family val="1"/>
      </rPr>
      <t xml:space="preserve"> Sau các phẫu thuật loại 1; Bỏng độ 3-4 từ 25 -70% diện tích cơ thể</t>
    </r>
  </si>
  <si>
    <t>4.3</t>
  </si>
  <si>
    <r>
      <t>Loại 3</t>
    </r>
    <r>
      <rPr>
        <sz val="13"/>
        <rFont val="Times New Roman"/>
        <family val="1"/>
      </rPr>
      <t>: Sau các phẫu thuật loại 2; Bỏng độ 2 trên 30% diện tích cơ thể, Bỏng độ 3-4 dưới 25% diện tích cơ thể</t>
    </r>
  </si>
  <si>
    <t>4.4</t>
  </si>
  <si>
    <r>
      <t>Loại 4</t>
    </r>
    <r>
      <rPr>
        <sz val="13"/>
        <rFont val="Times New Roman"/>
        <family val="1"/>
      </rPr>
      <t>: Sau các phẫu thuật loại 3; Bỏng độ 1, độ 2 dưới 30% diện tích cơ thể</t>
    </r>
  </si>
  <si>
    <t>Ngày giường trạm y tế xã</t>
  </si>
  <si>
    <t>Ngày giường bệnh ban ngày</t>
  </si>
  <si>
    <r>
      <t xml:space="preserve">  </t>
    </r>
    <r>
      <rPr>
        <b/>
        <sz val="14"/>
        <rFont val="Times New Roman"/>
        <family val="1"/>
      </rPr>
      <t xml:space="preserve"> Ghi chú:</t>
    </r>
    <r>
      <rPr>
        <sz val="14"/>
        <rFont val="Times New Roman"/>
        <family val="1"/>
      </rPr>
      <t xml:space="preserve"> Giá ngày giường điều trị nội trú chưa bao gồm chi phí máy thở và  khí y tế.</t>
    </r>
  </si>
  <si>
    <t>Hạng 1</t>
  </si>
  <si>
    <t>Loại 3: Các khoa:  YHDT, Phục hồi chức năng</t>
  </si>
  <si>
    <t>Ngày điều trị Hồi sức tích cực (ICU)/ghép tạng/ghép tủy /ghép tế bào gốc</t>
  </si>
  <si>
    <t>Loại 1: Các khoa: Truyền nhiễm, Hô hấp, Huyết học, Ung thư, Tim mạch, Tâm thần, Thần kinh, Nhi, Tiêu hoá, Thận học; Nội tiết; Dị ứng (đối với bệnh nhân dị ứng thuốc nặng: Stevens Jonhson/ Lyell)</t>
  </si>
  <si>
    <t>Loại 2: Các Khoa: Cơ-Xương-Khớp, Da liễu, Dị ứng, Tai-Mũi-Họng, Mắt, Răng Hàm Mặt, Ngoại, Phụ -Sản không mổ; YHDT/ PHCN cho nhóm người bệnh tổn thương tủy sống, tai biến mạch máu não, chấn thương sọ não.</t>
  </si>
  <si>
    <t xml:space="preserve">Ngày giường bệnh ngoại khoa, bỏng; </t>
  </si>
  <si>
    <t>Loại 1 : Sau các phẫu thuật loại đặc biệt; Bỏng độ 3-4 trên 70% diện tích cơ thể</t>
  </si>
  <si>
    <t>Loại 2 : Sau các phẫu thuật loại 1; Bỏng độ 3-4 từ 25 -70% diện tích cơ thể</t>
  </si>
  <si>
    <t>Loại 3 : Sau các phẫu thuật loại 2; Bỏng độ 2 trên 30% diện tích cơ thể, Bỏng độ 3-4 dưới 25% diện tích cơ thể</t>
  </si>
  <si>
    <t>Loại 4 : Sau các phẫu thuật loại 3; Bỏng độ 1, độ 2 dưới 30% diện tích cơ thể</t>
  </si>
  <si>
    <t>Hạng 2</t>
  </si>
  <si>
    <t>Hạng 3</t>
  </si>
  <si>
    <t>Hạng 4</t>
  </si>
  <si>
    <t>Giá dịch vụ ngày giường bệnh</t>
  </si>
  <si>
    <t>Phụ cấp</t>
  </si>
  <si>
    <t xml:space="preserve">Lương 1,8 triệu </t>
  </si>
  <si>
    <t>Giá tại TT 21,22 (Chi phí trực tiếp + lương 1,8 triệu)</t>
  </si>
  <si>
    <t xml:space="preserve">Lương 2,34 triệu đồng </t>
  </si>
  <si>
    <t>Tổng 2 yếu tố  (Chi phí trực tiếp + lương 2,34 triệu đ)</t>
  </si>
  <si>
    <t>Giá max duyệt</t>
  </si>
  <si>
    <t>Bệnh viện hạng đặc biệt và Bệnh viện chuyên khoa trực thuộc Bộ Y tế tại Hà Nội và TP Hồ Chí Minh</t>
  </si>
  <si>
    <r>
      <t xml:space="preserve">Loại 1: </t>
    </r>
    <r>
      <rPr>
        <sz val="12"/>
        <rFont val="Times New Roman"/>
        <family val="1"/>
      </rPr>
      <t>Các khoa: Truyền nhiễm, Hô hấp, Huyết học, Ung thư, Tim mạch, Tâm thần, Thần kinh, Nhi, Tiêu hoá, Thận học; Nội tiết; Dị ứng (đối với bệnh nhân dị ứng thuốc nặng: Stevens Jonhson/ Lyell)</t>
    </r>
  </si>
  <si>
    <r>
      <t xml:space="preserve">Loại 2: </t>
    </r>
    <r>
      <rPr>
        <sz val="12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</si>
  <si>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t>Loại 3:</t>
    </r>
    <r>
      <rPr>
        <sz val="12"/>
        <rFont val="Times New Roman"/>
        <family val="1"/>
      </rPr>
      <t xml:space="preserve"> Các khoa:  YHDT, Phục hồi chức năng</t>
    </r>
  </si>
  <si>
    <r>
      <t xml:space="preserve">Loại 1 </t>
    </r>
    <r>
      <rPr>
        <sz val="12"/>
        <rFont val="Times New Roman"/>
        <family val="1"/>
      </rPr>
      <t>: Sau các phẫu thuật loại đặc biệt; Bỏng độ 3-4 trên 70% diện tích cơ thể</t>
    </r>
  </si>
  <si>
    <r>
      <t>Loại 2 :</t>
    </r>
    <r>
      <rPr>
        <sz val="12"/>
        <rFont val="Times New Roman"/>
        <family val="1"/>
      </rPr>
      <t xml:space="preserve"> Sau các phẫu thuật loại 1; Bỏng độ 3-4 từ 25 -70% diện tích cơ thể</t>
    </r>
  </si>
  <si>
    <r>
      <t xml:space="preserve">Loại 3 </t>
    </r>
    <r>
      <rPr>
        <sz val="12"/>
        <rFont val="Times New Roman"/>
        <family val="1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</si>
  <si>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2"/>
        <rFont val="Times New Roman"/>
        <family val="1"/>
      </rPr>
      <t>: Sau các phẫu thuật loại 3; Bỏng độ 1, độ 2 dưới 30% diện tích cơ thể</t>
    </r>
  </si>
  <si>
    <t>V</t>
  </si>
  <si>
    <t>Tỷ lệ</t>
  </si>
  <si>
    <t>Số dịch vụ</t>
  </si>
  <si>
    <t>Tỷ lệ chung</t>
  </si>
  <si>
    <t>(Ban hành kèm theo Thông tư số 22/2023/TT-BYT  ngày 17/ 11/2023  của Bộ Y tế)</t>
  </si>
  <si>
    <t>Bệnh viện hạng Đặc biệt</t>
  </si>
  <si>
    <t>Được tính bằng 0,3 lần giá ngày giường của các khoa và loại phòng tương ứng.</t>
  </si>
  <si>
    <t>VI</t>
  </si>
  <si>
    <t>Giá max duyệt BHYT</t>
  </si>
  <si>
    <t>Danh mục không thuộc Quỹ BHYT thanh toán nhưng không phải là DV theo yêu cầu</t>
  </si>
  <si>
    <t>Khám cấp giấy chứng thương, giám định y khoa (không kể xét nghiệm, X-quang)</t>
  </si>
  <si>
    <t>Khám sức khỏe toàn diện lao động, lái xe, khám sức khỏe định kỳ (không kể xét nghiệm, X-quang)</t>
  </si>
  <si>
    <t>Khám sức khỏe toàn diện cho người đi xuất khẩu lao động (không kể xét nghiệm, X-quang)</t>
  </si>
  <si>
    <t>Giá Bạch Mai</t>
  </si>
  <si>
    <t>Giá Chợ Rẫy</t>
  </si>
  <si>
    <r>
      <rPr>
        <b/>
        <sz val="14"/>
        <rFont val="Times New Roman"/>
        <family val="1"/>
      </rPr>
      <t>STT</t>
    </r>
  </si>
  <si>
    <r>
      <rPr>
        <b/>
        <sz val="14"/>
        <rFont val="Times New Roman"/>
        <family val="1"/>
      </rPr>
      <t>Danh mục dịch vụ</t>
    </r>
  </si>
  <si>
    <r>
      <rPr>
        <b/>
        <sz val="14"/>
        <rFont val="Times New Roman"/>
        <family val="1"/>
      </rPr>
      <t>Mức giá</t>
    </r>
  </si>
  <si>
    <r>
      <rPr>
        <sz val="8"/>
        <rFont val="Times New Roman"/>
        <family val="1"/>
      </rPr>
      <t>1</t>
    </r>
  </si>
  <si>
    <r>
      <rPr>
        <sz val="8"/>
        <rFont val="Times New Roman"/>
        <family val="1"/>
      </rPr>
      <t>2</t>
    </r>
  </si>
  <si>
    <r>
      <rPr>
        <sz val="8"/>
        <rFont val="Times New Roman"/>
        <family val="1"/>
      </rPr>
      <t>3</t>
    </r>
  </si>
  <si>
    <r>
      <rPr>
        <b/>
        <sz val="14"/>
        <rFont val="Times New Roman"/>
        <family val="1"/>
      </rPr>
      <t>I</t>
    </r>
  </si>
  <si>
    <r>
      <rPr>
        <b/>
        <sz val="14"/>
        <rFont val="Times New Roman"/>
        <family val="1"/>
      </rPr>
      <t>Danh mục dịch vụ khám bệnh, chữa bệnh do Quỹ BHYT thanh toán</t>
    </r>
  </si>
  <si>
    <r>
      <rPr>
        <sz val="14"/>
        <rFont val="Times New Roman"/>
        <family val="1"/>
      </rPr>
      <t>1</t>
    </r>
  </si>
  <si>
    <r>
      <rPr>
        <sz val="14"/>
        <rFont val="Times New Roman"/>
        <family val="1"/>
      </rPr>
      <t>Giá Khám bệnh</t>
    </r>
  </si>
  <si>
    <r>
      <rPr>
        <sz val="14"/>
        <rFont val="Times New Roman"/>
        <family val="1"/>
      </rPr>
      <t>50.600</t>
    </r>
  </si>
  <si>
    <r>
      <rPr>
        <sz val="14"/>
        <rFont val="Times New Roman"/>
        <family val="1"/>
      </rPr>
      <t>2</t>
    </r>
  </si>
  <si>
    <r>
      <rPr>
        <sz val="14"/>
        <rFont val="Times New Roman"/>
        <family val="1"/>
      </rPr>
      <t>Hội chẩn để xác định ca bệnh khó (chuyên gia/ca; Chỉ áp dụng đối với trường hợp mời chuyên gia đơn vị khác đến hội chẩn tại cơ sở khám, chữa bệnh).</t>
    </r>
  </si>
  <si>
    <r>
      <rPr>
        <sz val="14"/>
        <rFont val="Times New Roman"/>
        <family val="1"/>
      </rPr>
      <t>200.000</t>
    </r>
  </si>
  <si>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</si>
  <si>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Giá Khám bệnh Y tế cơ quan</t>
    </r>
  </si>
  <si>
    <r>
      <rPr>
        <sz val="14"/>
        <rFont val="Times New Roman"/>
        <family val="1"/>
      </rPr>
      <t>36.500</t>
    </r>
  </si>
  <si>
    <r>
      <rPr>
        <b/>
        <sz val="14"/>
        <rFont val="Times New Roman"/>
        <family val="1"/>
      </rPr>
      <t>II</t>
    </r>
  </si>
  <si>
    <r>
      <rPr>
        <b/>
        <sz val="14"/>
        <rFont val="Times New Roman"/>
        <family val="1"/>
      </rPr>
      <t>Danh mục dịch vụ KBCB không thuộc danh mục do quỹ bảo hiểm y tế thanh toán mà không phải là dịch vụ KBCB theo yêu cầu</t>
    </r>
  </si>
  <si>
    <r>
      <rPr>
        <sz val="14"/>
        <rFont val="Times New Roman"/>
        <family val="1"/>
      </rPr>
      <t>4</t>
    </r>
  </si>
  <si>
    <r>
      <rPr>
        <sz val="14"/>
        <rFont val="Times New Roman"/>
        <family val="1"/>
      </rPr>
      <t>Khám cấp giấy chứng thương, giám định y khoa (không kể xét nghiệm, X-quang)</t>
    </r>
  </si>
  <si>
    <r>
      <rPr>
        <sz val="14"/>
        <rFont val="Times New Roman"/>
        <family val="1"/>
      </rPr>
      <t>160.000</t>
    </r>
  </si>
  <si>
    <r>
      <rPr>
        <sz val="14"/>
        <rFont val="Times New Roman"/>
        <family val="1"/>
      </rPr>
      <t>5</t>
    </r>
  </si>
  <si>
    <r>
      <rPr>
        <sz val="14"/>
        <rFont val="Times New Roman"/>
        <family val="1"/>
      </rPr>
      <t>Khám sức khỏe toàn diện lao động, lái xe, khám sức khỏe định kỳ (không kể xét nghiệm, X-quang)</t>
    </r>
  </si>
  <si>
    <r>
      <rPr>
        <sz val="14"/>
        <rFont val="Times New Roman"/>
        <family val="1"/>
      </rPr>
      <t>6</t>
    </r>
  </si>
  <si>
    <r>
      <rPr>
        <sz val="14"/>
        <rFont val="Times New Roman"/>
        <family val="1"/>
      </rPr>
      <t>Khám sức khỏe toàn diện cho người đi xuất khẩu lao động (không kể xét nghiệm, X-quang)</t>
    </r>
  </si>
  <si>
    <r>
      <rPr>
        <sz val="14"/>
        <rFont val="Times New Roman"/>
        <family val="1"/>
      </rPr>
      <t>450.000</t>
    </r>
  </si>
  <si>
    <r>
      <rPr>
        <b/>
        <sz val="13"/>
        <rFont val="Times New Roman"/>
        <family val="1"/>
      </rPr>
      <t>Số TT</t>
    </r>
  </si>
  <si>
    <r>
      <rPr>
        <b/>
        <sz val="13"/>
        <rFont val="Times New Roman"/>
        <family val="1"/>
      </rPr>
      <t>Các loại dịch vụ</t>
    </r>
  </si>
  <si>
    <r>
      <rPr>
        <b/>
        <sz val="13"/>
        <rFont val="Times New Roman"/>
        <family val="1"/>
      </rPr>
      <t>Mức giá</t>
    </r>
  </si>
  <si>
    <r>
      <rPr>
        <b/>
        <sz val="13"/>
        <rFont val="Times New Roman"/>
        <family val="1"/>
      </rPr>
      <t>1</t>
    </r>
  </si>
  <si>
    <r>
      <rPr>
        <sz val="13"/>
        <rFont val="Times New Roman"/>
        <family val="1"/>
      </rPr>
      <t>Ngày điều trị Hồi sức tích cực (ICU)/ghép tạng/ghép tủy /ghép tế bào gốc</t>
    </r>
  </si>
  <si>
    <r>
      <rPr>
        <sz val="13"/>
        <rFont val="Times New Roman"/>
        <family val="1"/>
      </rPr>
      <t>1.017.300</t>
    </r>
  </si>
  <si>
    <r>
      <rPr>
        <b/>
        <sz val="13"/>
        <rFont val="Times New Roman"/>
        <family val="1"/>
      </rPr>
      <t>2</t>
    </r>
  </si>
  <si>
    <r>
      <rPr>
        <sz val="13"/>
        <rFont val="Times New Roman"/>
        <family val="1"/>
      </rPr>
      <t>Ngày giường bệnh Hồi sức cấp cứu</t>
    </r>
  </si>
  <si>
    <r>
      <rPr>
        <sz val="13"/>
        <rFont val="Times New Roman"/>
        <family val="1"/>
      </rPr>
      <t>599.400</t>
    </r>
  </si>
  <si>
    <r>
      <rPr>
        <b/>
        <sz val="13"/>
        <rFont val="Times New Roman"/>
        <family val="1"/>
      </rPr>
      <t>3</t>
    </r>
  </si>
  <si>
    <r>
      <rPr>
        <b/>
        <sz val="13"/>
        <rFont val="Times New Roman"/>
        <family val="1"/>
      </rPr>
      <t>Giá Khám bệnh</t>
    </r>
  </si>
  <si>
    <r>
      <rPr>
        <sz val="13"/>
        <rFont val="Times New Roman"/>
        <family val="1"/>
      </rPr>
      <t>3.1</t>
    </r>
  </si>
  <si>
    <r>
      <rPr>
        <b/>
        <sz val="13"/>
        <rFont val="Times New Roman"/>
        <family val="1"/>
      </rPr>
      <t xml:space="preserve">Loại 1: </t>
    </r>
    <r>
      <rPr>
        <sz val="13"/>
        <rFont val="Times New Roman"/>
        <family val="1"/>
      </rPr>
      <t>Các khoa: Truyền nhiễm, Hô hấp, Huyết học, Ung thư, Tim mạch, Tâm thần, Thần kinh, Nhi, Tiêu hoá, Thận học; Nội tiết; Dị ứng (đối với bệnh nhân dị ứng thuốc nặng: Stevens Jonhson/ Lyell)</t>
    </r>
  </si>
  <si>
    <r>
      <rPr>
        <sz val="13"/>
        <rFont val="Times New Roman"/>
        <family val="1"/>
      </rPr>
      <t>327.100</t>
    </r>
  </si>
  <si>
    <r>
      <rPr>
        <sz val="13"/>
        <rFont val="Times New Roman"/>
        <family val="1"/>
      </rPr>
      <t>3.2</t>
    </r>
  </si>
  <si>
    <r>
      <rPr>
        <b/>
        <sz val="13"/>
        <rFont val="Times New Roman"/>
        <family val="1"/>
      </rPr>
      <t xml:space="preserve">Loại 2: </t>
    </r>
    <r>
      <rPr>
        <sz val="13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</si>
  <si>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rPr>
        <sz val="13"/>
        <rFont val="Times New Roman"/>
        <family val="1"/>
      </rPr>
      <t>295.200</t>
    </r>
  </si>
  <si>
    <r>
      <rPr>
        <sz val="13"/>
        <rFont val="Times New Roman"/>
        <family val="1"/>
      </rPr>
      <t>3.3</t>
    </r>
  </si>
  <si>
    <r>
      <rPr>
        <b/>
        <sz val="13"/>
        <rFont val="Times New Roman"/>
        <family val="1"/>
      </rPr>
      <t xml:space="preserve">Loại 3: </t>
    </r>
    <r>
      <rPr>
        <sz val="13"/>
        <rFont val="Times New Roman"/>
        <family val="1"/>
      </rPr>
      <t>Các khoa: YHDT, Phục hồi chức năng</t>
    </r>
  </si>
  <si>
    <r>
      <rPr>
        <sz val="13"/>
        <rFont val="Times New Roman"/>
        <family val="1"/>
      </rPr>
      <t>251.100</t>
    </r>
  </si>
  <si>
    <r>
      <rPr>
        <b/>
        <sz val="13"/>
        <rFont val="Times New Roman"/>
        <family val="1"/>
      </rPr>
      <t>4</t>
    </r>
  </si>
  <si>
    <r>
      <rPr>
        <b/>
        <sz val="13"/>
        <rFont val="Times New Roman"/>
        <family val="1"/>
      </rPr>
      <t>Ngày giường bệnh ngoại khoa, bỏng</t>
    </r>
  </si>
  <si>
    <r>
      <rPr>
        <sz val="13"/>
        <rFont val="Times New Roman"/>
        <family val="1"/>
      </rPr>
      <t>4.1</t>
    </r>
  </si>
  <si>
    <r>
      <rPr>
        <b/>
        <sz val="13"/>
        <rFont val="Times New Roman"/>
        <family val="1"/>
      </rPr>
      <t xml:space="preserve">Loại 1 </t>
    </r>
    <r>
      <rPr>
        <sz val="13"/>
        <rFont val="Times New Roman"/>
        <family val="1"/>
      </rPr>
      <t xml:space="preserve">: Sau các phẫu thuật loại đặc biệt; Bỏng độ </t>
    </r>
    <r>
      <rPr>
        <sz val="13"/>
        <rFont val="Times New Roman"/>
        <family val="1"/>
      </rPr>
      <t>34</t>
    </r>
    <r>
      <rPr>
        <sz val="13"/>
        <rFont val="Times New Roman"/>
        <family val="1"/>
      </rPr>
      <t xml:space="preserve"> trên 70% diện tích cơ thể</t>
    </r>
  </si>
  <si>
    <r>
      <rPr>
        <sz val="13"/>
        <rFont val="Times New Roman"/>
        <family val="1"/>
      </rPr>
      <t>440.400</t>
    </r>
  </si>
  <si>
    <r>
      <rPr>
        <sz val="13"/>
        <rFont val="Times New Roman"/>
        <family val="1"/>
      </rPr>
      <t>4.2</t>
    </r>
  </si>
  <si>
    <r>
      <rPr>
        <b/>
        <sz val="13"/>
        <rFont val="Times New Roman"/>
        <family val="1"/>
      </rPr>
      <t xml:space="preserve">Loại 2 : </t>
    </r>
    <r>
      <rPr>
        <sz val="13"/>
        <rFont val="Times New Roman"/>
        <family val="1"/>
      </rPr>
      <t>Sau các phẫu thuật loại 1; Bỏng độ 3-4 từ 25 -70% diện tích cơ thể</t>
    </r>
  </si>
  <si>
    <r>
      <rPr>
        <sz val="13"/>
        <rFont val="Times New Roman"/>
        <family val="1"/>
      </rPr>
      <t>394.800</t>
    </r>
  </si>
  <si>
    <r>
      <rPr>
        <sz val="13"/>
        <rFont val="Times New Roman"/>
        <family val="1"/>
      </rPr>
      <t>4.3</t>
    </r>
  </si>
  <si>
    <r>
      <rPr>
        <b/>
        <sz val="13"/>
        <rFont val="Times New Roman"/>
        <family val="1"/>
      </rPr>
      <t xml:space="preserve">Loại 3 </t>
    </r>
    <r>
      <rPr>
        <sz val="13"/>
        <rFont val="Times New Roman"/>
        <family val="1"/>
      </rPr>
      <t>: Sau các phẫu thuật loại 2; Bỏng độ 2 trên 30% diện tích cơ thể, Bỏng độ 3-4 dưới 25% diện tích cơ thể</t>
    </r>
  </si>
  <si>
    <r>
      <rPr>
        <sz val="13"/>
        <rFont val="Times New Roman"/>
        <family val="1"/>
      </rPr>
      <t>345.800</t>
    </r>
  </si>
  <si>
    <r>
      <rPr>
        <sz val="13"/>
        <rFont val="Times New Roman"/>
        <family val="1"/>
      </rPr>
      <t>4.4</t>
    </r>
  </si>
  <si>
    <r>
      <rPr>
        <b/>
        <sz val="13"/>
        <rFont val="Times New Roman"/>
        <family val="1"/>
      </rPr>
      <t xml:space="preserve">Loại 4 </t>
    </r>
    <r>
      <rPr>
        <sz val="13"/>
        <rFont val="Times New Roman"/>
        <family val="1"/>
      </rPr>
      <t>: Sau các phẫu thuật loại 3; Bỏng độ 1, độ 2 dưới 30% diện tích cơ thể</t>
    </r>
  </si>
  <si>
    <r>
      <rPr>
        <sz val="13"/>
        <rFont val="Times New Roman"/>
        <family val="1"/>
      </rPr>
      <t>310.300</t>
    </r>
  </si>
  <si>
    <r>
      <rPr>
        <b/>
        <sz val="13"/>
        <rFont val="Times New Roman"/>
        <family val="1"/>
      </rPr>
      <t>5</t>
    </r>
  </si>
  <si>
    <r>
      <rPr>
        <b/>
        <sz val="13"/>
        <rFont val="Times New Roman"/>
        <family val="1"/>
      </rPr>
      <t>Ngày giường điều trị ban ngày</t>
    </r>
  </si>
  <si>
    <r>
      <rPr>
        <sz val="13"/>
        <rFont val="Times New Roman"/>
        <family val="1"/>
      </rPr>
      <t>Bằng 0,3 lần giá ngày giường của các khoa tương ứng</t>
    </r>
  </si>
  <si>
    <t>Phụ lục I</t>
  </si>
  <si>
    <t xml:space="preserve"> GIÁ DỊCH VỤ KHÁM BỆNH, HỘI CHẨN</t>
  </si>
  <si>
    <t>(Ban hành kèm theo Quyết định số          /QĐ-BYT ngày        /       /2024 của Bộ Y tế)</t>
  </si>
  <si>
    <t>Đơn vị: đồng</t>
  </si>
  <si>
    <t>Danh mục dịch vụ</t>
  </si>
  <si>
    <t>Mức giá</t>
  </si>
  <si>
    <t>Danh mục dịch vụ khám bệnh, chữa bệnh do Quỹ BHYT thanh toán</t>
  </si>
  <si>
    <t>Giá Khám bệnh</t>
  </si>
  <si>
    <t>Danh mục dịch vụ KBCB không thuộc danh mục do quỹ bảo hiểm y tế thanh toán mà không phải là dịch vụ KBCB theo yêu cầu</t>
  </si>
  <si>
    <t>(Ban hành kèm theo Quyết định số      /QĐ-BYT ngày      /    /2024 của Bộ Y tế)</t>
  </si>
  <si>
    <t>Ngày giường bệnh Nội khoa</t>
  </si>
  <si>
    <r>
      <t xml:space="preserve">Loại 1: </t>
    </r>
    <r>
      <rPr>
        <sz val="14"/>
        <rFont val="Times New Roman"/>
        <family val="1"/>
      </rPr>
      <t>Các khoa: Truyền nhiễm, Hô hấp, Huyết học, Ung thư, Tim mạch, Tâm thần, Thần kinh, Nhi, Tiêu hoá, Thận học; Nội tiết; Dị ứng (đối với bệnh nhân dị ứng thuốc nặng: Stevens Jonhson/ Lyell)</t>
    </r>
  </si>
  <si>
    <r>
      <t xml:space="preserve">Loại 2: </t>
    </r>
    <r>
      <rPr>
        <sz val="14"/>
        <rFont val="Times New Roman"/>
        <family val="1"/>
      </rPr>
      <t>Các Khoa: Cơ-Xương-Khớp, Da liễu, Dị ứng, Tai-Mũi-Họng, Mắt, Răng Hàm Mặt, Ngoại, Phụ -Sản không mổ; YHDT/ PHCN cho nhóm người bệnh tổn thương tủy sống, tai biến mạch máu não, chấn thương sọ não.</t>
    </r>
  </si>
  <si>
    <r>
      <t>Loại 3:</t>
    </r>
    <r>
      <rPr>
        <sz val="14"/>
        <rFont val="Times New Roman"/>
        <family val="1"/>
      </rPr>
      <t xml:space="preserve"> Các khoa:  YHDT, Phục hồi chức năng</t>
    </r>
  </si>
  <si>
    <t>Ngày giường bệnh ngoại khoa, bỏng</t>
  </si>
  <si>
    <r>
      <t xml:space="preserve">Loại 1 </t>
    </r>
    <r>
      <rPr>
        <sz val="14"/>
        <rFont val="Times New Roman"/>
        <family val="1"/>
      </rPr>
      <t>: Sau các phẫu thuật loại đặc biệt; Bỏng độ 3-4 trên 70% diện tích cơ thể</t>
    </r>
  </si>
  <si>
    <r>
      <t>Loại 2 :</t>
    </r>
    <r>
      <rPr>
        <sz val="14"/>
        <rFont val="Times New Roman"/>
        <family val="1"/>
      </rPr>
      <t xml:space="preserve"> Sau các phẫu thuật loại 1; Bỏng độ 3-4 từ 25 -70% diện tích cơ thể</t>
    </r>
  </si>
  <si>
    <r>
      <t xml:space="preserve">Loại 3 </t>
    </r>
    <r>
      <rPr>
        <sz val="14"/>
        <rFont val="Times New Roman"/>
        <family val="1"/>
      </rPr>
      <t>: Sau các phẫu thuật loại 2; Bỏng độ 2 trên 30% diện tích cơ thể, Bỏng độ 3-4 dưới 25% diện tích cơ thể</t>
    </r>
  </si>
  <si>
    <r>
      <t xml:space="preserve">Loại 4 </t>
    </r>
    <r>
      <rPr>
        <sz val="14"/>
        <rFont val="Times New Roman"/>
        <family val="1"/>
      </rPr>
      <t>: Sau các phẫu thuật loại 3; Bỏng độ 1, độ 2 dưới 30% diện tích cơ thể</t>
    </r>
  </si>
  <si>
    <t>Ngày giường điều trị ban ngày</t>
  </si>
  <si>
    <t>Bằng 0,3 lần giá ngày giường của các khoa tương ứng</t>
  </si>
  <si>
    <t>Bệnh viện hạng đặc biệt</t>
  </si>
  <si>
    <t xml:space="preserve"> GIÁ DỊCH VỤ KHÁM BỆNH</t>
  </si>
  <si>
    <t>(Ban hành kèm theo Thông tư số      /2019/TT-BYT ngày      /    /2019 của Bộ Y tế)</t>
  </si>
  <si>
    <t>Cơ sở y tế</t>
  </si>
  <si>
    <t>Chi phí tiền lương 1,8trđ</t>
  </si>
  <si>
    <t>Giá bao gồm chi phí trực tiếp và tiền lương 1,8 trđ (TT 22)</t>
  </si>
  <si>
    <t>Chi phí tiền lương 2.340.000 đ</t>
  </si>
  <si>
    <t>Giá bao gồm chi phí trực tiếp và tiền lương 2,34 trđ</t>
  </si>
  <si>
    <t>Giá max phê duyệt</t>
  </si>
  <si>
    <t>Danh mục BHYT thanh toán</t>
  </si>
  <si>
    <t xml:space="preserve">Bệnh viện hạng IV </t>
  </si>
  <si>
    <t xml:space="preserve">Trạm y tế xã </t>
  </si>
  <si>
    <t>Hạng đặc biệt</t>
  </si>
  <si>
    <t>1.017.300</t>
  </si>
  <si>
    <t>VII</t>
  </si>
  <si>
    <t>Giá BV Chợ Rẫy</t>
  </si>
  <si>
    <t>Giá BV Bạch Mai</t>
  </si>
  <si>
    <t>599.400</t>
  </si>
  <si>
    <t>327.100</t>
  </si>
  <si>
    <t>295.200</t>
  </si>
  <si>
    <t>251.100</t>
  </si>
  <si>
    <t>440.400</t>
  </si>
  <si>
    <t>394.800</t>
  </si>
  <si>
    <t>345.800</t>
  </si>
  <si>
    <t>310.300</t>
  </si>
  <si>
    <t xml:space="preserve"> Ghi chú: Giá ngày giường điều trị nội trú chưa bao gồm chi phí máy thở và  khí y tế.</t>
  </si>
  <si>
    <t>So sánh</t>
  </si>
  <si>
    <t xml:space="preserve">Danh mục dịch vụ </t>
  </si>
  <si>
    <t>tính bằng 50% giá dịch vụ ngày giường nội khoa BV hạng IV</t>
  </si>
  <si>
    <t>Mức giá đề nghị phê duyệt (làm tròn)</t>
  </si>
  <si>
    <t xml:space="preserve">Mức giá bao gồm chi phí trực tiếp, tiền lương 2,34 trđ </t>
  </si>
  <si>
    <t>Theo Thông tư 15/2018 và QĐ 3702 BYT</t>
  </si>
  <si>
    <t>Giá phê duyệt TT15</t>
  </si>
  <si>
    <t>Tổng giá</t>
  </si>
  <si>
    <t>Theo Thông tư 39/2018</t>
  </si>
  <si>
    <t>Chi phí trực tiếp + PTTT</t>
  </si>
  <si>
    <t>Giá phê duyệt tại TT 39</t>
  </si>
  <si>
    <t>Chi phí trực tiếp +PTTT tại 3702</t>
  </si>
  <si>
    <t xml:space="preserve"> Chi phí tền lương tại 3702 mức lương 1.150</t>
  </si>
  <si>
    <t>Chi phí tiền lương 1.390</t>
  </si>
  <si>
    <t>Theo Thông tư 13/2019</t>
  </si>
  <si>
    <t>Chi phí tiền lương 1.490</t>
  </si>
  <si>
    <t>Giá phê duyệt tại TT 13</t>
  </si>
  <si>
    <t xml:space="preserve"> Thông tư 22/2023/TT-BYT </t>
  </si>
  <si>
    <t>Chi phí tiền lương 1.800</t>
  </si>
  <si>
    <t>Giá phê duyệt tại TT 22</t>
  </si>
  <si>
    <t>II. Chi phí trực tiếp và phụ cấp (theo QĐ 3702)</t>
  </si>
  <si>
    <t>Lương theo mức 1,150</t>
  </si>
  <si>
    <t xml:space="preserve">Mức giá </t>
  </si>
  <si>
    <t>Giá tại TT 15</t>
  </si>
  <si>
    <t>II. Chi phí trực tiếp và phụ cấp (theo 3702)</t>
  </si>
  <si>
    <t>Đề xuất mức giá (2.340 theo file của Bộ)</t>
  </si>
  <si>
    <t>Chi phí trực tiếp + PTTT tại QĐ 3702</t>
  </si>
  <si>
    <t>THUYẾT MINH ĐỐI VỚI CÔNG KHÁM</t>
  </si>
  <si>
    <t>THUYẾT MINH ĐÔ VỚI NGÀY GIƯỜNG</t>
  </si>
  <si>
    <t xml:space="preserve"> Chi phí tền lương tại 3702 mức lương 2,340</t>
  </si>
  <si>
    <t>Giá BYT đang phê duyệt cho các đơn vị trực thuộc bộ</t>
  </si>
  <si>
    <t>Giá đề nghị trình</t>
  </si>
  <si>
    <t>Giá xây dựng trình kỳ này</t>
  </si>
  <si>
    <t>Loại 1: Các khoa: Truyền nhiễm, Hô hấp, Huyết học, Ung thư, Tim mạch, Tâm thần, Thần kinh, Lão, Nhi, Tiêu hoá, Thận học; Nội tiết; Dị ứng (đối với bệnh nhân dị ứng thuốc nặng: Stevens Jonhson/ Lyell)</t>
  </si>
  <si>
    <t>Bệnh viện Nông Nghiệp (hạng 1)</t>
  </si>
  <si>
    <t>Bệnh viện 71 (Hạng 1)</t>
  </si>
  <si>
    <t>Bệnh viện Hữu Nghị Việt Nam - Cu Ba Đồng Hới (Hạng 1)</t>
  </si>
  <si>
    <t>Thông tin So sánh</t>
  </si>
  <si>
    <t xml:space="preserve">Bệnh viện đa khoa Trung ương Huế  - cơ sở 2 (hạng 2) </t>
  </si>
  <si>
    <t>PHỤ LỤC II</t>
  </si>
  <si>
    <t>Hạng I</t>
  </si>
  <si>
    <t>Hạng II</t>
  </si>
  <si>
    <t>Các Trạm Y tế thuộc các Trung tâm y tế huyện, thị xã, thành phố và Phòng khám ĐKKV Hà Nam, thị xã Quảng Yên; Phòng khám ĐKKV Mạo Khê, thành phố Đông Triều; Phòng khám ĐKKV thành phố Uông Bí; Phòng khám ĐKKV Nam Khê, tp Uông Bí; Phòng khám ĐKKV Hà Tu, thành phố Hạ Long; Phòng khám ĐKKV Trung tâm, thành phố Hạ Long; Phòng khám ĐKKV Cao Xanh, thành phố Hạ Long; Phòng khám ĐKKV Hoành Mô, huyện Bình Liêu; Phòng khám đa khoa khu vực Quan Lạn thuộc TTYT huyện Vân Đồn</t>
  </si>
  <si>
    <t xml:space="preserve">Ngày giường bệnh ban ngày 
</t>
  </si>
  <si>
    <t xml:space="preserve">Hạng III </t>
  </si>
  <si>
    <r>
      <t xml:space="preserve">GÍA DỊCH VỤ NGÀY GIƯỜNG 
</t>
    </r>
    <r>
      <rPr>
        <i/>
        <sz val="14"/>
        <rFont val="Times New Roman"/>
        <family val="1"/>
      </rPr>
      <t>(Ban hành kèm theo Nghị quyết số       /NQ-HĐND ngày       /12/2024 của Hội đồng nhân dân tỉnh)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</si>
</sst>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.#._-;\-* #.#._-;_-* &quot;-&quot;??_-;_-@_ⴆ"/>
  </numFmts>
  <fonts count="4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trike/>
      <sz val="12"/>
      <color theme="1"/>
      <name val="Times New Roman"/>
      <family val="1"/>
    </font>
    <font>
      <strike/>
      <sz val="12"/>
      <color theme="1"/>
      <name val="Times New Roman"/>
      <family val="1"/>
    </font>
    <font>
      <b/>
      <sz val="11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rgb="FFFF0000"/>
      <name val="Times New Roman"/>
      <family val="1"/>
      <scheme val="major"/>
    </font>
    <font>
      <b/>
      <sz val="11"/>
      <color rgb="FFFF0000"/>
      <name val="Times New Roman"/>
      <family val="1"/>
      <scheme val="maj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b/>
      <sz val="13"/>
      <name val="Times New Roman"/>
      <family val="1"/>
    </font>
    <font>
      <sz val="8"/>
      <name val="Times New Roman"/>
      <family val="1"/>
    </font>
    <font>
      <sz val="11"/>
      <color indexed="8"/>
      <name val="Arial"/>
      <family val="2"/>
      <charset val="163"/>
    </font>
    <font>
      <i/>
      <sz val="14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3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Arial"/>
      <family val="2"/>
    </font>
    <font>
      <sz val="12"/>
      <name val="Arial"/>
      <family val="2"/>
      <scheme val="minor"/>
    </font>
    <font>
      <i/>
      <sz val="13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9" fontId="21" fillId="0" borderId="0" applyFont="0" applyFill="0" applyBorder="0" applyAlignment="0" applyProtection="0"/>
    <xf numFmtId="0" fontId="24" fillId="0" borderId="0"/>
    <xf numFmtId="0" fontId="1" fillId="0" borderId="0"/>
  </cellStyleXfs>
  <cellXfs count="3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1" xfId="0" applyFont="1" applyBorder="1"/>
    <xf numFmtId="0" fontId="11" fillId="0" borderId="1" xfId="0" applyFont="1" applyBorder="1"/>
    <xf numFmtId="0" fontId="14" fillId="0" borderId="0" xfId="0" applyFont="1" applyAlignment="1">
      <alignment horizontal="center"/>
    </xf>
    <xf numFmtId="0" fontId="13" fillId="0" borderId="0" xfId="0" applyFont="1"/>
    <xf numFmtId="0" fontId="17" fillId="0" borderId="0" xfId="2" applyFont="1" applyAlignment="1">
      <alignment horizontal="left"/>
    </xf>
    <xf numFmtId="0" fontId="18" fillId="0" borderId="0" xfId="2" applyFont="1"/>
    <xf numFmtId="0" fontId="20" fillId="0" borderId="0" xfId="2" applyFont="1"/>
    <xf numFmtId="0" fontId="20" fillId="0" borderId="0" xfId="2" applyFont="1" applyAlignment="1">
      <alignment horizontal="center"/>
    </xf>
    <xf numFmtId="9" fontId="22" fillId="0" borderId="1" xfId="3" applyFont="1" applyFill="1" applyBorder="1" applyAlignment="1">
      <alignment horizontal="center" vertical="center" wrapText="1"/>
    </xf>
    <xf numFmtId="0" fontId="25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/>
    </xf>
    <xf numFmtId="9" fontId="22" fillId="0" borderId="1" xfId="3" applyFont="1" applyFill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7" fillId="0" borderId="8" xfId="2" applyFont="1" applyBorder="1" applyAlignment="1">
      <alignment horizontal="justify" vertical="center" wrapText="1"/>
    </xf>
    <xf numFmtId="0" fontId="22" fillId="0" borderId="8" xfId="2" applyFont="1" applyBorder="1" applyAlignment="1">
      <alignment horizontal="justify" vertical="center" wrapText="1"/>
    </xf>
    <xf numFmtId="16" fontId="27" fillId="0" borderId="8" xfId="2" quotePrefix="1" applyNumberFormat="1" applyFont="1" applyBorder="1" applyAlignment="1">
      <alignment horizontal="center" vertical="center"/>
    </xf>
    <xf numFmtId="0" fontId="27" fillId="0" borderId="8" xfId="2" quotePrefix="1" applyFont="1" applyBorder="1" applyAlignment="1">
      <alignment horizontal="center" vertical="center"/>
    </xf>
    <xf numFmtId="0" fontId="27" fillId="0" borderId="9" xfId="2" quotePrefix="1" applyFont="1" applyBorder="1" applyAlignment="1">
      <alignment horizontal="center" vertical="center"/>
    </xf>
    <xf numFmtId="0" fontId="22" fillId="0" borderId="9" xfId="2" applyFont="1" applyBorder="1" applyAlignment="1">
      <alignment horizontal="justify" vertical="center" wrapText="1"/>
    </xf>
    <xf numFmtId="0" fontId="27" fillId="0" borderId="1" xfId="2" quotePrefix="1" applyFont="1" applyBorder="1" applyAlignment="1">
      <alignment horizontal="center" vertical="center"/>
    </xf>
    <xf numFmtId="0" fontId="22" fillId="0" borderId="1" xfId="2" applyFont="1" applyBorder="1" applyAlignment="1">
      <alignment horizontal="justify" vertical="center" wrapText="1"/>
    </xf>
    <xf numFmtId="0" fontId="16" fillId="0" borderId="0" xfId="2" applyFont="1"/>
    <xf numFmtId="0" fontId="27" fillId="0" borderId="0" xfId="2" applyFont="1"/>
    <xf numFmtId="0" fontId="23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6" fillId="3" borderId="0" xfId="2" applyFont="1" applyFill="1" applyAlignment="1">
      <alignment wrapText="1"/>
    </xf>
    <xf numFmtId="3" fontId="29" fillId="3" borderId="8" xfId="2" applyNumberFormat="1" applyFont="1" applyFill="1" applyBorder="1" applyAlignment="1">
      <alignment vertical="center"/>
    </xf>
    <xf numFmtId="0" fontId="18" fillId="3" borderId="0" xfId="2" applyFont="1" applyFill="1"/>
    <xf numFmtId="0" fontId="20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20" fillId="3" borderId="0" xfId="2" applyFont="1" applyFill="1" applyAlignment="1">
      <alignment horizontal="center"/>
    </xf>
    <xf numFmtId="0" fontId="19" fillId="0" borderId="1" xfId="2" applyFont="1" applyBorder="1" applyAlignment="1">
      <alignment horizontal="center" vertical="center"/>
    </xf>
    <xf numFmtId="9" fontId="19" fillId="0" borderId="1" xfId="3" applyFont="1" applyFill="1" applyBorder="1" applyAlignment="1">
      <alignment horizontal="center" vertical="center"/>
    </xf>
    <xf numFmtId="9" fontId="32" fillId="2" borderId="10" xfId="3" applyFont="1" applyFill="1" applyBorder="1" applyAlignment="1">
      <alignment horizontal="center" vertical="center" wrapText="1"/>
    </xf>
    <xf numFmtId="9" fontId="32" fillId="0" borderId="10" xfId="3" applyFont="1" applyFill="1" applyBorder="1" applyAlignment="1">
      <alignment horizontal="center" vertical="center" wrapText="1"/>
    </xf>
    <xf numFmtId="9" fontId="32" fillId="3" borderId="10" xfId="3" applyFont="1" applyFill="1" applyBorder="1" applyAlignment="1">
      <alignment horizontal="center" vertical="center" wrapText="1"/>
    </xf>
    <xf numFmtId="3" fontId="23" fillId="0" borderId="11" xfId="2" applyNumberFormat="1" applyFont="1" applyBorder="1" applyAlignment="1">
      <alignment horizontal="center" vertical="center"/>
    </xf>
    <xf numFmtId="3" fontId="23" fillId="3" borderId="11" xfId="2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2" borderId="12" xfId="2" applyFont="1" applyFill="1" applyBorder="1" applyAlignment="1">
      <alignment horizontal="left" vertical="center" wrapText="1"/>
    </xf>
    <xf numFmtId="0" fontId="17" fillId="2" borderId="13" xfId="2" applyFont="1" applyFill="1" applyBorder="1" applyAlignment="1">
      <alignment horizontal="left" vertical="center" wrapText="1"/>
    </xf>
    <xf numFmtId="3" fontId="23" fillId="0" borderId="13" xfId="2" applyNumberFormat="1" applyFont="1" applyBorder="1" applyAlignment="1">
      <alignment horizontal="center" vertical="center"/>
    </xf>
    <xf numFmtId="0" fontId="17" fillId="3" borderId="13" xfId="2" applyFont="1" applyFill="1" applyBorder="1" applyAlignment="1">
      <alignment horizontal="left" vertical="center" wrapText="1"/>
    </xf>
    <xf numFmtId="3" fontId="23" fillId="3" borderId="13" xfId="2" applyNumberFormat="1" applyFont="1" applyFill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justify" vertical="center" wrapText="1"/>
    </xf>
    <xf numFmtId="3" fontId="29" fillId="0" borderId="14" xfId="2" applyNumberFormat="1" applyFont="1" applyBorder="1" applyAlignment="1">
      <alignment vertical="center"/>
    </xf>
    <xf numFmtId="3" fontId="29" fillId="0" borderId="8" xfId="2" applyNumberFormat="1" applyFont="1" applyBorder="1" applyAlignment="1">
      <alignment vertical="center"/>
    </xf>
    <xf numFmtId="3" fontId="29" fillId="3" borderId="14" xfId="2" applyNumberFormat="1" applyFont="1" applyFill="1" applyBorder="1" applyAlignment="1">
      <alignment vertical="center"/>
    </xf>
    <xf numFmtId="0" fontId="19" fillId="0" borderId="8" xfId="2" applyFont="1" applyBorder="1" applyAlignment="1">
      <alignment horizontal="justify" vertical="center" wrapText="1"/>
    </xf>
    <xf numFmtId="16" fontId="30" fillId="0" borderId="8" xfId="2" quotePrefix="1" applyNumberFormat="1" applyFont="1" applyBorder="1" applyAlignment="1">
      <alignment horizontal="center" vertical="center"/>
    </xf>
    <xf numFmtId="0" fontId="30" fillId="0" borderId="8" xfId="2" quotePrefix="1" applyFont="1" applyBorder="1" applyAlignment="1">
      <alignment horizontal="center" vertical="center"/>
    </xf>
    <xf numFmtId="0" fontId="17" fillId="2" borderId="8" xfId="2" applyFont="1" applyFill="1" applyBorder="1" applyAlignment="1">
      <alignment horizontal="justify" vertical="center" wrapText="1"/>
    </xf>
    <xf numFmtId="3" fontId="16" fillId="0" borderId="14" xfId="2" applyNumberFormat="1" applyFont="1" applyBorder="1" applyAlignment="1">
      <alignment vertical="center"/>
    </xf>
    <xf numFmtId="0" fontId="30" fillId="0" borderId="0" xfId="2" applyFont="1"/>
    <xf numFmtId="3" fontId="16" fillId="0" borderId="15" xfId="2" applyNumberFormat="1" applyFont="1" applyBorder="1" applyAlignment="1">
      <alignment vertical="center"/>
    </xf>
    <xf numFmtId="3" fontId="29" fillId="0" borderId="15" xfId="2" applyNumberFormat="1" applyFont="1" applyBorder="1" applyAlignment="1">
      <alignment vertical="center"/>
    </xf>
    <xf numFmtId="0" fontId="30" fillId="0" borderId="6" xfId="2" quotePrefix="1" applyFont="1" applyBorder="1" applyAlignment="1">
      <alignment horizontal="center" vertical="center"/>
    </xf>
    <xf numFmtId="0" fontId="19" fillId="0" borderId="6" xfId="2" applyFont="1" applyBorder="1" applyAlignment="1">
      <alignment horizontal="justify" vertical="center" wrapText="1"/>
    </xf>
    <xf numFmtId="3" fontId="29" fillId="0" borderId="16" xfId="2" applyNumberFormat="1" applyFont="1" applyBorder="1" applyAlignment="1">
      <alignment vertical="center"/>
    </xf>
    <xf numFmtId="3" fontId="29" fillId="0" borderId="6" xfId="2" applyNumberFormat="1" applyFont="1" applyBorder="1" applyAlignment="1">
      <alignment vertical="center"/>
    </xf>
    <xf numFmtId="3" fontId="29" fillId="3" borderId="16" xfId="2" applyNumberFormat="1" applyFont="1" applyFill="1" applyBorder="1" applyAlignment="1">
      <alignment vertical="center"/>
    </xf>
    <xf numFmtId="3" fontId="29" fillId="3" borderId="6" xfId="2" applyNumberFormat="1" applyFont="1" applyFill="1" applyBorder="1" applyAlignment="1">
      <alignment vertical="center"/>
    </xf>
    <xf numFmtId="0" fontId="30" fillId="0" borderId="7" xfId="2" quotePrefix="1" applyFont="1" applyBorder="1" applyAlignment="1">
      <alignment horizontal="center" vertical="center"/>
    </xf>
    <xf numFmtId="0" fontId="19" fillId="0" borderId="7" xfId="2" applyFont="1" applyBorder="1" applyAlignment="1">
      <alignment horizontal="justify" vertical="center" wrapText="1"/>
    </xf>
    <xf numFmtId="3" fontId="28" fillId="0" borderId="3" xfId="2" applyNumberFormat="1" applyFont="1" applyBorder="1" applyAlignment="1">
      <alignment vertical="center"/>
    </xf>
    <xf numFmtId="0" fontId="17" fillId="0" borderId="1" xfId="2" applyFont="1" applyBorder="1"/>
    <xf numFmtId="4" fontId="17" fillId="0" borderId="1" xfId="2" applyNumberFormat="1" applyFont="1" applyBorder="1"/>
    <xf numFmtId="0" fontId="16" fillId="3" borderId="0" xfId="2" applyFont="1" applyFill="1"/>
    <xf numFmtId="3" fontId="16" fillId="3" borderId="0" xfId="2" applyNumberFormat="1" applyFont="1" applyFill="1"/>
    <xf numFmtId="3" fontId="17" fillId="0" borderId="1" xfId="2" applyNumberFormat="1" applyFont="1" applyBorder="1" applyAlignment="1">
      <alignment horizontal="center"/>
    </xf>
    <xf numFmtId="0" fontId="17" fillId="0" borderId="17" xfId="2" applyFont="1" applyBorder="1"/>
    <xf numFmtId="4" fontId="17" fillId="0" borderId="17" xfId="2" applyNumberFormat="1" applyFont="1" applyBorder="1" applyAlignment="1">
      <alignment horizontal="center"/>
    </xf>
    <xf numFmtId="0" fontId="31" fillId="0" borderId="0" xfId="2" applyFont="1"/>
    <xf numFmtId="0" fontId="17" fillId="0" borderId="0" xfId="2" applyFont="1" applyAlignment="1">
      <alignment horizontal="right"/>
    </xf>
    <xf numFmtId="3" fontId="23" fillId="0" borderId="2" xfId="2" applyNumberFormat="1" applyFont="1" applyBorder="1" applyAlignment="1">
      <alignment horizontal="center" vertical="center"/>
    </xf>
    <xf numFmtId="3" fontId="17" fillId="0" borderId="8" xfId="2" applyNumberFormat="1" applyFont="1" applyBorder="1" applyAlignment="1">
      <alignment vertical="center"/>
    </xf>
    <xf numFmtId="3" fontId="17" fillId="2" borderId="8" xfId="2" applyNumberFormat="1" applyFont="1" applyFill="1" applyBorder="1" applyAlignment="1">
      <alignment vertical="center"/>
    </xf>
    <xf numFmtId="3" fontId="17" fillId="4" borderId="8" xfId="2" applyNumberFormat="1" applyFont="1" applyFill="1" applyBorder="1" applyAlignment="1">
      <alignment vertical="center"/>
    </xf>
    <xf numFmtId="0" fontId="27" fillId="2" borderId="8" xfId="2" quotePrefix="1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justify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7" fillId="3" borderId="3" xfId="2" applyNumberFormat="1" applyFont="1" applyFill="1" applyBorder="1" applyAlignment="1">
      <alignment horizontal="center" vertical="center"/>
    </xf>
    <xf numFmtId="0" fontId="33" fillId="0" borderId="0" xfId="2" applyFont="1" applyAlignment="1">
      <alignment horizontal="center"/>
    </xf>
    <xf numFmtId="3" fontId="17" fillId="0" borderId="1" xfId="2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>
      <alignment horizontal="left" wrapText="1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justify"/>
    </xf>
    <xf numFmtId="0" fontId="0" fillId="0" borderId="20" xfId="0" applyBorder="1" applyAlignment="1">
      <alignment horizontal="justify" wrapText="1"/>
    </xf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left" vertical="top"/>
    </xf>
    <xf numFmtId="0" fontId="0" fillId="0" borderId="20" xfId="0" applyBorder="1" applyAlignment="1">
      <alignment horizontal="justify" vertical="center"/>
    </xf>
    <xf numFmtId="0" fontId="0" fillId="0" borderId="20" xfId="0" applyBorder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 wrapText="1"/>
    </xf>
    <xf numFmtId="0" fontId="36" fillId="0" borderId="0" xfId="0" applyFont="1" applyAlignment="1">
      <alignment horizontal="right"/>
    </xf>
    <xf numFmtId="9" fontId="34" fillId="0" borderId="23" xfId="0" applyNumberFormat="1" applyFont="1" applyBorder="1" applyAlignment="1">
      <alignment horizontal="center" vertical="center" wrapText="1"/>
    </xf>
    <xf numFmtId="0" fontId="15" fillId="0" borderId="0" xfId="0" applyFont="1"/>
    <xf numFmtId="3" fontId="37" fillId="0" borderId="2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3" fontId="34" fillId="0" borderId="24" xfId="0" applyNumberFormat="1" applyFont="1" applyBorder="1" applyAlignment="1">
      <alignment horizontal="center" vertical="center"/>
    </xf>
    <xf numFmtId="3" fontId="34" fillId="0" borderId="24" xfId="0" applyNumberFormat="1" applyFont="1" applyBorder="1" applyAlignment="1">
      <alignment vertical="center"/>
    </xf>
    <xf numFmtId="3" fontId="39" fillId="0" borderId="24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3" fontId="39" fillId="0" borderId="25" xfId="0" applyNumberFormat="1" applyFont="1" applyBorder="1" applyAlignment="1">
      <alignment horizontal="center" vertical="center" wrapText="1"/>
    </xf>
    <xf numFmtId="3" fontId="39" fillId="0" borderId="25" xfId="0" applyNumberFormat="1" applyFont="1" applyBorder="1" applyAlignment="1">
      <alignment horizontal="left" vertical="center" wrapText="1"/>
    </xf>
    <xf numFmtId="3" fontId="39" fillId="0" borderId="25" xfId="0" applyNumberFormat="1" applyFont="1" applyBorder="1" applyAlignment="1">
      <alignment vertical="center"/>
    </xf>
    <xf numFmtId="3" fontId="39" fillId="0" borderId="26" xfId="0" applyNumberFormat="1" applyFont="1" applyBorder="1" applyAlignment="1">
      <alignment horizontal="center" vertical="center" wrapText="1"/>
    </xf>
    <xf numFmtId="3" fontId="39" fillId="0" borderId="26" xfId="0" applyNumberFormat="1" applyFont="1" applyBorder="1" applyAlignment="1">
      <alignment horizontal="left" vertical="center" wrapText="1"/>
    </xf>
    <xf numFmtId="3" fontId="39" fillId="0" borderId="26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horizontal="center" vertical="center"/>
    </xf>
    <xf numFmtId="3" fontId="39" fillId="0" borderId="30" xfId="0" applyNumberFormat="1" applyFont="1" applyBorder="1" applyAlignment="1">
      <alignment horizontal="center" vertical="center" wrapText="1"/>
    </xf>
    <xf numFmtId="3" fontId="39" fillId="0" borderId="3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/>
    <xf numFmtId="0" fontId="41" fillId="0" borderId="0" xfId="0" applyFont="1"/>
    <xf numFmtId="0" fontId="20" fillId="0" borderId="0" xfId="0" applyFont="1" applyAlignment="1">
      <alignment horizontal="center"/>
    </xf>
    <xf numFmtId="0" fontId="18" fillId="0" borderId="0" xfId="0" applyFont="1"/>
    <xf numFmtId="0" fontId="25" fillId="0" borderId="0" xfId="0" applyFont="1" applyAlignment="1">
      <alignment horizontal="right" wrapText="1"/>
    </xf>
    <xf numFmtId="0" fontId="17" fillId="0" borderId="24" xfId="0" applyFont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 wrapText="1"/>
    </xf>
    <xf numFmtId="3" fontId="16" fillId="0" borderId="25" xfId="0" applyNumberFormat="1" applyFont="1" applyBorder="1" applyAlignment="1">
      <alignment vertical="center"/>
    </xf>
    <xf numFmtId="0" fontId="17" fillId="0" borderId="25" xfId="0" applyFont="1" applyBorder="1" applyAlignment="1">
      <alignment horizontal="left" vertical="center" wrapText="1"/>
    </xf>
    <xf numFmtId="16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0" fontId="16" fillId="0" borderId="31" xfId="0" applyFont="1" applyBorder="1" applyAlignment="1">
      <alignment horizontal="center" vertical="center" wrapText="1"/>
    </xf>
    <xf numFmtId="0" fontId="30" fillId="0" borderId="0" xfId="0" applyFont="1"/>
    <xf numFmtId="0" fontId="19" fillId="0" borderId="0" xfId="2" applyFont="1" applyAlignment="1">
      <alignment horizontal="right"/>
    </xf>
    <xf numFmtId="0" fontId="17" fillId="0" borderId="0" xfId="2" applyFont="1" applyAlignment="1">
      <alignment horizontal="center" wrapText="1"/>
    </xf>
    <xf numFmtId="0" fontId="19" fillId="0" borderId="0" xfId="2" applyFont="1"/>
    <xf numFmtId="0" fontId="20" fillId="0" borderId="0" xfId="2" applyFont="1" applyAlignment="1">
      <alignment horizontal="center" wrapText="1"/>
    </xf>
    <xf numFmtId="0" fontId="20" fillId="3" borderId="0" xfId="2" applyFont="1" applyFill="1"/>
    <xf numFmtId="0" fontId="42" fillId="0" borderId="0" xfId="2" applyFont="1" applyAlignment="1">
      <alignment horizontal="right"/>
    </xf>
    <xf numFmtId="9" fontId="22" fillId="3" borderId="1" xfId="3" applyFont="1" applyFill="1" applyBorder="1" applyAlignment="1">
      <alignment horizontal="center" vertical="center" wrapText="1"/>
    </xf>
    <xf numFmtId="0" fontId="43" fillId="0" borderId="0" xfId="2" applyFont="1"/>
    <xf numFmtId="3" fontId="23" fillId="0" borderId="1" xfId="2" applyNumberFormat="1" applyFont="1" applyBorder="1" applyAlignment="1">
      <alignment horizontal="center" vertical="center"/>
    </xf>
    <xf numFmtId="3" fontId="23" fillId="3" borderId="1" xfId="2" applyNumberFormat="1" applyFont="1" applyFill="1" applyBorder="1" applyAlignment="1">
      <alignment horizontal="center" vertical="center"/>
    </xf>
    <xf numFmtId="0" fontId="44" fillId="0" borderId="0" xfId="2" applyFont="1" applyAlignment="1">
      <alignment horizontal="center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left" vertical="center" wrapText="1"/>
    </xf>
    <xf numFmtId="3" fontId="16" fillId="0" borderId="7" xfId="2" applyNumberFormat="1" applyFont="1" applyBorder="1" applyAlignment="1">
      <alignment horizontal="right" vertical="center" wrapText="1"/>
    </xf>
    <xf numFmtId="3" fontId="16" fillId="0" borderId="8" xfId="4" applyNumberFormat="1" applyFont="1" applyBorder="1" applyAlignment="1">
      <alignment vertical="center"/>
    </xf>
    <xf numFmtId="3" fontId="16" fillId="3" borderId="8" xfId="4" applyNumberFormat="1" applyFont="1" applyFill="1" applyBorder="1" applyAlignment="1">
      <alignment vertical="center"/>
    </xf>
    <xf numFmtId="3" fontId="17" fillId="0" borderId="8" xfId="4" applyNumberFormat="1" applyFont="1" applyBorder="1" applyAlignment="1">
      <alignment vertical="center"/>
    </xf>
    <xf numFmtId="3" fontId="16" fillId="2" borderId="8" xfId="2" applyNumberFormat="1" applyFont="1" applyFill="1" applyBorder="1" applyAlignment="1">
      <alignment horizontal="center" vertical="center" wrapText="1"/>
    </xf>
    <xf numFmtId="3" fontId="16" fillId="2" borderId="8" xfId="2" applyNumberFormat="1" applyFont="1" applyFill="1" applyBorder="1" applyAlignment="1">
      <alignment horizontal="left" vertical="center" wrapText="1"/>
    </xf>
    <xf numFmtId="3" fontId="16" fillId="2" borderId="8" xfId="2" applyNumberFormat="1" applyFont="1" applyFill="1" applyBorder="1" applyAlignment="1">
      <alignment horizontal="right" vertical="center" wrapText="1"/>
    </xf>
    <xf numFmtId="3" fontId="16" fillId="2" borderId="7" xfId="2" applyNumberFormat="1" applyFont="1" applyFill="1" applyBorder="1" applyAlignment="1">
      <alignment horizontal="right" vertical="center" wrapText="1"/>
    </xf>
    <xf numFmtId="3" fontId="16" fillId="2" borderId="8" xfId="4" applyNumberFormat="1" applyFont="1" applyFill="1" applyBorder="1" applyAlignment="1">
      <alignment vertical="center"/>
    </xf>
    <xf numFmtId="3" fontId="17" fillId="2" borderId="8" xfId="4" applyNumberFormat="1" applyFont="1" applyFill="1" applyBorder="1" applyAlignment="1">
      <alignment vertical="center"/>
    </xf>
    <xf numFmtId="0" fontId="43" fillId="2" borderId="0" xfId="2" applyFont="1" applyFill="1"/>
    <xf numFmtId="3" fontId="16" fillId="0" borderId="8" xfId="2" applyNumberFormat="1" applyFont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left" vertical="center" wrapText="1"/>
    </xf>
    <xf numFmtId="3" fontId="16" fillId="0" borderId="8" xfId="2" applyNumberFormat="1" applyFont="1" applyBorder="1" applyAlignment="1">
      <alignment horizontal="right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left" vertical="center" wrapText="1"/>
    </xf>
    <xf numFmtId="3" fontId="16" fillId="0" borderId="6" xfId="2" applyNumberFormat="1" applyFont="1" applyBorder="1" applyAlignment="1">
      <alignment horizontal="center" vertical="center" wrapText="1"/>
    </xf>
    <xf numFmtId="3" fontId="16" fillId="0" borderId="6" xfId="2" applyNumberFormat="1" applyFont="1" applyBorder="1" applyAlignment="1">
      <alignment horizontal="justify" vertical="center" wrapText="1"/>
    </xf>
    <xf numFmtId="3" fontId="16" fillId="0" borderId="6" xfId="2" applyNumberFormat="1" applyFont="1" applyBorder="1" applyAlignment="1">
      <alignment vertical="center"/>
    </xf>
    <xf numFmtId="3" fontId="16" fillId="3" borderId="6" xfId="2" applyNumberFormat="1" applyFont="1" applyFill="1" applyBorder="1" applyAlignment="1">
      <alignment vertical="center"/>
    </xf>
    <xf numFmtId="3" fontId="17" fillId="0" borderId="6" xfId="2" applyNumberFormat="1" applyFont="1" applyBorder="1" applyAlignment="1">
      <alignment vertical="center"/>
    </xf>
    <xf numFmtId="3" fontId="17" fillId="0" borderId="1" xfId="2" applyNumberFormat="1" applyFont="1" applyBorder="1" applyAlignment="1">
      <alignment horizontal="left" vertical="center"/>
    </xf>
    <xf numFmtId="3" fontId="17" fillId="3" borderId="1" xfId="2" applyNumberFormat="1" applyFont="1" applyFill="1" applyBorder="1" applyAlignment="1">
      <alignment horizontal="center" vertical="center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left" vertical="center" wrapText="1"/>
    </xf>
    <xf numFmtId="3" fontId="16" fillId="0" borderId="7" xfId="4" applyNumberFormat="1" applyFont="1" applyBorder="1" applyAlignment="1">
      <alignment vertical="center"/>
    </xf>
    <xf numFmtId="3" fontId="16" fillId="3" borderId="7" xfId="4" applyNumberFormat="1" applyFont="1" applyFill="1" applyBorder="1" applyAlignment="1">
      <alignment vertical="center"/>
    </xf>
    <xf numFmtId="3" fontId="17" fillId="0" borderId="7" xfId="4" applyNumberFormat="1" applyFont="1" applyBorder="1" applyAlignment="1">
      <alignment vertical="center"/>
    </xf>
    <xf numFmtId="3" fontId="16" fillId="0" borderId="6" xfId="2" applyNumberFormat="1" applyFont="1" applyBorder="1" applyAlignment="1">
      <alignment horizontal="left" vertical="center" wrapText="1"/>
    </xf>
    <xf numFmtId="3" fontId="16" fillId="0" borderId="6" xfId="4" applyNumberFormat="1" applyFont="1" applyBorder="1" applyAlignment="1">
      <alignment vertical="center"/>
    </xf>
    <xf numFmtId="3" fontId="16" fillId="3" borderId="6" xfId="4" applyNumberFormat="1" applyFont="1" applyFill="1" applyBorder="1" applyAlignment="1">
      <alignment vertical="center"/>
    </xf>
    <xf numFmtId="3" fontId="17" fillId="0" borderId="6" xfId="4" applyNumberFormat="1" applyFont="1" applyBorder="1" applyAlignment="1">
      <alignment vertical="center"/>
    </xf>
    <xf numFmtId="0" fontId="43" fillId="3" borderId="0" xfId="2" applyFont="1" applyFill="1"/>
    <xf numFmtId="3" fontId="19" fillId="0" borderId="3" xfId="2" applyNumberFormat="1" applyFont="1" applyBorder="1" applyAlignment="1">
      <alignment horizontal="center" vertical="center"/>
    </xf>
    <xf numFmtId="3" fontId="19" fillId="0" borderId="3" xfId="2" applyNumberFormat="1" applyFont="1" applyBorder="1" applyAlignment="1">
      <alignment horizontal="left" vertical="center"/>
    </xf>
    <xf numFmtId="0" fontId="45" fillId="0" borderId="0" xfId="2" applyFont="1" applyAlignment="1">
      <alignment horizontal="center"/>
    </xf>
    <xf numFmtId="164" fontId="30" fillId="0" borderId="0" xfId="1" applyNumberFormat="1" applyFont="1" applyFill="1"/>
    <xf numFmtId="0" fontId="19" fillId="0" borderId="1" xfId="0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0" fontId="19" fillId="0" borderId="0" xfId="0" applyFont="1"/>
    <xf numFmtId="0" fontId="1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164" fontId="30" fillId="0" borderId="1" xfId="1" applyNumberFormat="1" applyFont="1" applyFill="1" applyBorder="1" applyAlignment="1">
      <alignment horizontal="center" vertical="center" wrapText="1"/>
    </xf>
    <xf numFmtId="0" fontId="30" fillId="0" borderId="1" xfId="0" applyFont="1" applyBorder="1"/>
    <xf numFmtId="0" fontId="30" fillId="0" borderId="1" xfId="0" applyFont="1" applyBorder="1" applyAlignment="1">
      <alignment horizontal="left" wrapText="1"/>
    </xf>
    <xf numFmtId="165" fontId="30" fillId="0" borderId="1" xfId="1" applyNumberFormat="1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right" vertical="center"/>
    </xf>
    <xf numFmtId="3" fontId="30" fillId="0" borderId="0" xfId="0" applyNumberFormat="1" applyFont="1"/>
    <xf numFmtId="164" fontId="30" fillId="0" borderId="0" xfId="0" applyNumberFormat="1" applyFont="1"/>
    <xf numFmtId="164" fontId="30" fillId="0" borderId="1" xfId="1" applyNumberFormat="1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left" wrapText="1"/>
    </xf>
    <xf numFmtId="0" fontId="22" fillId="0" borderId="1" xfId="2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0" fontId="30" fillId="5" borderId="0" xfId="0" applyFont="1" applyFill="1"/>
    <xf numFmtId="0" fontId="19" fillId="5" borderId="0" xfId="0" applyFont="1" applyFill="1"/>
    <xf numFmtId="164" fontId="30" fillId="5" borderId="0" xfId="1" applyNumberFormat="1" applyFont="1" applyFill="1"/>
    <xf numFmtId="0" fontId="30" fillId="0" borderId="1" xfId="0" applyFont="1" applyBorder="1" applyAlignment="1">
      <alignment wrapText="1"/>
    </xf>
    <xf numFmtId="0" fontId="30" fillId="0" borderId="1" xfId="0" applyFont="1" applyBorder="1" applyAlignment="1">
      <alignment vertical="center"/>
    </xf>
    <xf numFmtId="164" fontId="30" fillId="0" borderId="1" xfId="1" applyNumberFormat="1" applyFont="1" applyFill="1" applyBorder="1" applyAlignment="1">
      <alignment vertical="center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66" fontId="30" fillId="0" borderId="1" xfId="1" applyNumberFormat="1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3" fontId="19" fillId="0" borderId="0" xfId="2" applyNumberFormat="1" applyFont="1" applyAlignment="1">
      <alignment horizontal="left" vertical="center"/>
    </xf>
    <xf numFmtId="0" fontId="30" fillId="0" borderId="4" xfId="0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 vertical="center" wrapText="1"/>
    </xf>
    <xf numFmtId="164" fontId="30" fillId="2" borderId="1" xfId="1" applyNumberFormat="1" applyFont="1" applyFill="1" applyBorder="1" applyAlignment="1">
      <alignment horizontal="center" vertical="center" wrapText="1"/>
    </xf>
    <xf numFmtId="164" fontId="30" fillId="0" borderId="4" xfId="1" applyNumberFormat="1" applyFont="1" applyBorder="1" applyAlignment="1">
      <alignment horizontal="center" vertical="center" wrapText="1"/>
    </xf>
    <xf numFmtId="0" fontId="30" fillId="2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164" fontId="30" fillId="2" borderId="4" xfId="1" applyNumberFormat="1" applyFont="1" applyFill="1" applyBorder="1" applyAlignment="1">
      <alignment horizontal="center" vertical="center" wrapText="1"/>
    </xf>
    <xf numFmtId="3" fontId="19" fillId="2" borderId="0" xfId="2" applyNumberFormat="1" applyFont="1" applyFill="1" applyAlignment="1">
      <alignment horizontal="left" vertical="center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wrapText="1"/>
    </xf>
    <xf numFmtId="0" fontId="19" fillId="2" borderId="0" xfId="0" applyFont="1" applyFill="1"/>
    <xf numFmtId="164" fontId="30" fillId="2" borderId="0" xfId="1" applyNumberFormat="1" applyFont="1" applyFill="1"/>
    <xf numFmtId="164" fontId="19" fillId="2" borderId="1" xfId="1" applyNumberFormat="1" applyFont="1" applyFill="1" applyBorder="1" applyAlignment="1">
      <alignment horizontal="center" vertical="center" wrapText="1"/>
    </xf>
    <xf numFmtId="164" fontId="30" fillId="2" borderId="1" xfId="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3" fontId="30" fillId="0" borderId="4" xfId="2" applyNumberFormat="1" applyFont="1" applyBorder="1" applyAlignment="1">
      <alignment vertical="center"/>
    </xf>
    <xf numFmtId="164" fontId="30" fillId="0" borderId="4" xfId="1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/>
    <xf numFmtId="0" fontId="19" fillId="0" borderId="1" xfId="0" applyFont="1" applyBorder="1" applyAlignment="1">
      <alignment wrapText="1"/>
    </xf>
    <xf numFmtId="165" fontId="30" fillId="0" borderId="1" xfId="0" applyNumberFormat="1" applyFont="1" applyBorder="1" applyAlignment="1">
      <alignment horizontal="right" vertical="center"/>
    </xf>
    <xf numFmtId="164" fontId="30" fillId="0" borderId="1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164" fontId="19" fillId="0" borderId="0" xfId="1" applyNumberFormat="1" applyFont="1" applyFill="1"/>
    <xf numFmtId="0" fontId="3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7" fillId="0" borderId="1" xfId="2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164" fontId="30" fillId="0" borderId="0" xfId="1" applyNumberFormat="1" applyFont="1" applyFill="1" applyAlignment="1">
      <alignment vertical="center"/>
    </xf>
    <xf numFmtId="164" fontId="19" fillId="0" borderId="0" xfId="1" applyNumberFormat="1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4" fontId="19" fillId="2" borderId="1" xfId="1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164" fontId="19" fillId="0" borderId="17" xfId="1" applyNumberFormat="1" applyFont="1" applyFill="1" applyBorder="1" applyAlignment="1">
      <alignment horizontal="center" vertical="center" wrapText="1"/>
    </xf>
    <xf numFmtId="164" fontId="19" fillId="0" borderId="18" xfId="1" applyNumberFormat="1" applyFont="1" applyFill="1" applyBorder="1" applyAlignment="1">
      <alignment horizontal="center" vertical="center" wrapText="1"/>
    </xf>
    <xf numFmtId="164" fontId="19" fillId="0" borderId="10" xfId="1" applyNumberFormat="1" applyFont="1" applyFill="1" applyBorder="1" applyAlignment="1">
      <alignment horizontal="center" vertical="center" wrapText="1"/>
    </xf>
    <xf numFmtId="164" fontId="19" fillId="0" borderId="2" xfId="1" applyNumberFormat="1" applyFont="1" applyFill="1" applyBorder="1" applyAlignment="1">
      <alignment horizontal="center" vertical="center" wrapText="1"/>
    </xf>
    <xf numFmtId="164" fontId="19" fillId="0" borderId="4" xfId="1" applyNumberFormat="1" applyFont="1" applyFill="1" applyBorder="1" applyAlignment="1">
      <alignment horizontal="center" vertical="center" wrapText="1"/>
    </xf>
    <xf numFmtId="164" fontId="19" fillId="0" borderId="32" xfId="1" applyNumberFormat="1" applyFont="1" applyFill="1" applyBorder="1" applyAlignment="1">
      <alignment horizontal="center" vertical="center" wrapText="1"/>
    </xf>
    <xf numFmtId="164" fontId="19" fillId="0" borderId="33" xfId="1" applyNumberFormat="1" applyFont="1" applyFill="1" applyBorder="1" applyAlignment="1">
      <alignment horizontal="center" vertical="center" wrapText="1"/>
    </xf>
    <xf numFmtId="164" fontId="19" fillId="0" borderId="11" xfId="1" applyNumberFormat="1" applyFont="1" applyFill="1" applyBorder="1" applyAlignment="1">
      <alignment horizontal="center" vertical="center" wrapText="1"/>
    </xf>
    <xf numFmtId="164" fontId="19" fillId="0" borderId="19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164" fontId="19" fillId="0" borderId="13" xfId="1" applyNumberFormat="1" applyFont="1" applyFill="1" applyBorder="1" applyAlignment="1">
      <alignment horizontal="center" vertical="center" wrapText="1"/>
    </xf>
    <xf numFmtId="164" fontId="19" fillId="0" borderId="34" xfId="1" applyNumberFormat="1" applyFont="1" applyFill="1" applyBorder="1" applyAlignment="1">
      <alignment horizontal="center" vertical="center" wrapText="1"/>
    </xf>
    <xf numFmtId="164" fontId="19" fillId="0" borderId="5" xfId="1" applyNumberFormat="1" applyFont="1" applyFill="1" applyBorder="1" applyAlignment="1">
      <alignment horizontal="center" vertical="center" wrapText="1"/>
    </xf>
    <xf numFmtId="164" fontId="19" fillId="0" borderId="35" xfId="1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0" fillId="0" borderId="5" xfId="2" applyFont="1" applyBorder="1" applyAlignment="1">
      <alignment horizontal="center" wrapText="1"/>
    </xf>
    <xf numFmtId="3" fontId="17" fillId="0" borderId="1" xfId="2" applyNumberFormat="1" applyFont="1" applyBorder="1" applyAlignment="1">
      <alignment horizontal="center" vertical="center"/>
    </xf>
    <xf numFmtId="0" fontId="42" fillId="0" borderId="0" xfId="2" applyFont="1" applyAlignment="1">
      <alignment horizontal="center" wrapText="1"/>
    </xf>
    <xf numFmtId="0" fontId="19" fillId="0" borderId="0" xfId="2" applyFont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3" fontId="34" fillId="0" borderId="28" xfId="0" applyNumberFormat="1" applyFont="1" applyBorder="1" applyAlignment="1">
      <alignment horizontal="left" vertical="center" wrapText="1"/>
    </xf>
    <xf numFmtId="3" fontId="34" fillId="0" borderId="29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13" xfId="5" xr:uid="{00000000-0005-0000-0000-000002000000}"/>
    <cellStyle name="Normal 2 12" xfId="2" xr:uid="{00000000-0005-0000-0000-000003000000}"/>
    <cellStyle name="Normal 2 6" xfId="4" xr:uid="{00000000-0005-0000-0000-000004000000}"/>
    <cellStyle name="Percent 2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73661</xdr:rowOff>
    </xdr:from>
    <xdr:to>
      <xdr:col>2</xdr:col>
      <xdr:colOff>0</xdr:colOff>
      <xdr:row>4</xdr:row>
      <xdr:rowOff>87629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2438400" y="980441"/>
          <a:ext cx="0" cy="139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252095</xdr:colOff>
      <xdr:row>1</xdr:row>
      <xdr:rowOff>41275</xdr:rowOff>
    </xdr:from>
    <xdr:to>
      <xdr:col>1</xdr:col>
      <xdr:colOff>567532</xdr:colOff>
      <xdr:row>1</xdr:row>
      <xdr:rowOff>42863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694055" y="269875"/>
          <a:ext cx="315437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1995964</xdr:colOff>
      <xdr:row>4</xdr:row>
      <xdr:rowOff>103506</xdr:rowOff>
    </xdr:from>
    <xdr:to>
      <xdr:col>3</xdr:col>
      <xdr:colOff>503408</xdr:colOff>
      <xdr:row>4</xdr:row>
      <xdr:rowOff>105094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437924" y="1010286"/>
          <a:ext cx="1281124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1</xdr:row>
      <xdr:rowOff>38100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600075" y="276225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219075</xdr:colOff>
      <xdr:row>1</xdr:row>
      <xdr:rowOff>19050</xdr:rowOff>
    </xdr:from>
    <xdr:ext cx="2667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219075" y="257175"/>
          <a:ext cx="266700" cy="38100"/>
          <a:chOff x="5212650" y="3780000"/>
          <a:chExt cx="26670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>
            <a:off x="5212650" y="3780000"/>
            <a:ext cx="2667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605790</xdr:colOff>
      <xdr:row>4</xdr:row>
      <xdr:rowOff>114300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1358265" y="1038225"/>
          <a:ext cx="38100" cy="0"/>
          <a:chOff x="3272790" y="807720"/>
          <a:chExt cx="3810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605790</xdr:colOff>
      <xdr:row>1</xdr:row>
      <xdr:rowOff>38100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605790" y="276225"/>
          <a:ext cx="38100" cy="0"/>
          <a:chOff x="668655" y="198120"/>
          <a:chExt cx="3810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219075</xdr:colOff>
      <xdr:row>1</xdr:row>
      <xdr:rowOff>19050</xdr:rowOff>
    </xdr:from>
    <xdr:ext cx="26670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219075" y="257175"/>
          <a:ext cx="266700" cy="38100"/>
          <a:chOff x="5212650" y="3780000"/>
          <a:chExt cx="266700" cy="0"/>
        </a:xfrm>
      </xdr:grpSpPr>
      <xdr:cxnSp macro="">
        <xdr:nvCxnSpPr>
          <xdr:cNvPr id="11" name="Shape 4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>
            <a:off x="5212650" y="3780000"/>
            <a:ext cx="2667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114300</xdr:rowOff>
    </xdr:from>
    <xdr:ext cx="38100" cy="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3638550" y="1038225"/>
          <a:ext cx="38100" cy="0"/>
          <a:chOff x="3272790" y="807720"/>
          <a:chExt cx="38100" cy="0"/>
        </a:xfrm>
      </xdr:grpSpPr>
      <xdr:cxnSp macro="">
        <xdr:nvCxnSpPr>
          <xdr:cNvPr id="13" name="Shape 5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0</xdr:colOff>
      <xdr:row>1</xdr:row>
      <xdr:rowOff>40534</xdr:rowOff>
    </xdr:from>
    <xdr:to>
      <xdr:col>1</xdr:col>
      <xdr:colOff>0</xdr:colOff>
      <xdr:row>1</xdr:row>
      <xdr:rowOff>40534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678180" y="261514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1641173</xdr:colOff>
      <xdr:row>4</xdr:row>
      <xdr:rowOff>123762</xdr:rowOff>
    </xdr:from>
    <xdr:to>
      <xdr:col>1</xdr:col>
      <xdr:colOff>2590662</xdr:colOff>
      <xdr:row>4</xdr:row>
      <xdr:rowOff>129466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319353" y="1000062"/>
          <a:ext cx="949489" cy="57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2594937</xdr:colOff>
      <xdr:row>4</xdr:row>
      <xdr:rowOff>115293</xdr:rowOff>
    </xdr:from>
    <xdr:to>
      <xdr:col>1</xdr:col>
      <xdr:colOff>2595334</xdr:colOff>
      <xdr:row>4</xdr:row>
      <xdr:rowOff>116881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rot="5400000" flipH="1" flipV="1">
          <a:off x="3272522" y="992188"/>
          <a:ext cx="1588" cy="3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1</xdr:row>
      <xdr:rowOff>0</xdr:rowOff>
    </xdr:from>
    <xdr:ext cx="3429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76275" y="200025"/>
          <a:ext cx="342900" cy="38100"/>
          <a:chOff x="5174550" y="3780000"/>
          <a:chExt cx="342900" cy="0"/>
        </a:xfrm>
      </xdr:grpSpPr>
      <xdr:cxnSp macro="">
        <xdr:nvCxnSpPr>
          <xdr:cNvPr id="3" name="Shape 6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/>
        </xdr:nvCxnSpPr>
        <xdr:spPr>
          <a:xfrm>
            <a:off x="5174550" y="3780000"/>
            <a:ext cx="3429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161925</xdr:colOff>
      <xdr:row>1</xdr:row>
      <xdr:rowOff>0</xdr:rowOff>
    </xdr:from>
    <xdr:ext cx="3429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676275" y="200025"/>
          <a:ext cx="342900" cy="38100"/>
          <a:chOff x="5174550" y="3780000"/>
          <a:chExt cx="342900" cy="0"/>
        </a:xfrm>
      </xdr:grpSpPr>
      <xdr:cxnSp macro="">
        <xdr:nvCxnSpPr>
          <xdr:cNvPr id="5" name="Shape 6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>
            <a:off x="5174550" y="3780000"/>
            <a:ext cx="3429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166370</xdr:colOff>
      <xdr:row>0</xdr:row>
      <xdr:rowOff>287983</xdr:rowOff>
    </xdr:from>
    <xdr:to>
      <xdr:col>1</xdr:col>
      <xdr:colOff>506216</xdr:colOff>
      <xdr:row>0</xdr:row>
      <xdr:rowOff>287983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852170" y="287983"/>
          <a:ext cx="33984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1</xdr:row>
      <xdr:rowOff>38100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600075" y="371475"/>
          <a:ext cx="38100" cy="0"/>
          <a:chOff x="668655" y="198120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219075</xdr:colOff>
      <xdr:row>1</xdr:row>
      <xdr:rowOff>19050</xdr:rowOff>
    </xdr:from>
    <xdr:ext cx="26670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219075" y="352425"/>
          <a:ext cx="266700" cy="38100"/>
          <a:chOff x="5212650" y="3780000"/>
          <a:chExt cx="26670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CxnSpPr/>
        </xdr:nvCxnSpPr>
        <xdr:spPr>
          <a:xfrm>
            <a:off x="5212650" y="3780000"/>
            <a:ext cx="2667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605790</xdr:colOff>
      <xdr:row>4</xdr:row>
      <xdr:rowOff>114300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501140" y="1304925"/>
          <a:ext cx="38100" cy="0"/>
          <a:chOff x="3272790" y="807720"/>
          <a:chExt cx="38100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1428750</xdr:colOff>
      <xdr:row>4</xdr:row>
      <xdr:rowOff>180975</xdr:rowOff>
    </xdr:from>
    <xdr:to>
      <xdr:col>1</xdr:col>
      <xdr:colOff>3124200</xdr:colOff>
      <xdr:row>4</xdr:row>
      <xdr:rowOff>180975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28850" y="1354455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19050</xdr:rowOff>
    </xdr:from>
    <xdr:ext cx="3429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85825" y="314325"/>
          <a:ext cx="342900" cy="38100"/>
          <a:chOff x="5174550" y="3780000"/>
          <a:chExt cx="342900" cy="0"/>
        </a:xfrm>
      </xdr:grpSpPr>
      <xdr:cxnSp macro="">
        <xdr:nvCxnSpPr>
          <xdr:cNvPr id="3" name="Shape 6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CxnSpPr/>
        </xdr:nvCxnSpPr>
        <xdr:spPr>
          <a:xfrm>
            <a:off x="5174550" y="3780000"/>
            <a:ext cx="342900" cy="0"/>
          </a:xfrm>
          <a:prstGeom prst="straightConnector1">
            <a:avLst/>
          </a:prstGeom>
          <a:noFill/>
          <a:ln w="9525" cap="flat" cmpd="sng">
            <a:solidFill>
              <a:srgbClr val="4472C4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1752600</xdr:colOff>
      <xdr:row>4</xdr:row>
      <xdr:rowOff>123825</xdr:rowOff>
    </xdr:from>
    <xdr:to>
      <xdr:col>1</xdr:col>
      <xdr:colOff>3248025</xdr:colOff>
      <xdr:row>4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2438400" y="1144905"/>
          <a:ext cx="14954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2"/>
  <sheetViews>
    <sheetView zoomScale="70" zoomScaleNormal="70" workbookViewId="0">
      <pane xSplit="12" ySplit="9" topLeftCell="M37" activePane="bottomRight" state="frozen"/>
      <selection pane="topRight" activeCell="M1" sqref="M1"/>
      <selection pane="bottomLeft" activeCell="A10" sqref="A10"/>
      <selection pane="bottomRight" activeCell="G39" sqref="G39"/>
    </sheetView>
  </sheetViews>
  <sheetFormatPr defaultColWidth="9" defaultRowHeight="15.75" x14ac:dyDescent="0.25"/>
  <cols>
    <col min="1" max="1" width="4.25" style="276" customWidth="1"/>
    <col min="2" max="2" width="5" style="166" hidden="1" customWidth="1"/>
    <col min="3" max="3" width="7.25" style="166" hidden="1" customWidth="1"/>
    <col min="4" max="4" width="8.625" style="166" hidden="1" customWidth="1"/>
    <col min="5" max="5" width="6.75" style="166" hidden="1" customWidth="1"/>
    <col min="6" max="6" width="56.25" style="166" customWidth="1"/>
    <col min="7" max="7" width="14.875" style="166" customWidth="1"/>
    <col min="8" max="8" width="10.875" style="216" customWidth="1"/>
    <col min="9" max="9" width="9.75" style="216" customWidth="1"/>
    <col min="10" max="10" width="12.25" style="266" customWidth="1"/>
    <col min="11" max="11" width="10.25" style="216" hidden="1" customWidth="1"/>
    <col min="12" max="12" width="14.25" style="216" hidden="1" customWidth="1"/>
    <col min="13" max="13" width="12.75" style="216" hidden="1" customWidth="1"/>
    <col min="14" max="14" width="13.375" style="216" hidden="1" customWidth="1"/>
    <col min="15" max="15" width="13.125" style="216" hidden="1" customWidth="1"/>
    <col min="16" max="16" width="10.875" style="216" hidden="1" customWidth="1"/>
    <col min="17" max="17" width="17.125" style="216" customWidth="1"/>
    <col min="18" max="18" width="16.25" style="216" customWidth="1"/>
    <col min="19" max="19" width="13.75" style="216" customWidth="1"/>
    <col min="20" max="20" width="10.875" style="266" customWidth="1"/>
    <col min="21" max="21" width="10.75" style="216" customWidth="1"/>
    <col min="22" max="22" width="11.75" style="216" customWidth="1"/>
    <col min="23" max="23" width="12.75" style="166" customWidth="1"/>
    <col min="24" max="16384" width="9" style="166"/>
  </cols>
  <sheetData>
    <row r="2" spans="1:23" x14ac:dyDescent="0.25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</row>
    <row r="3" spans="1:23" x14ac:dyDescent="0.25">
      <c r="A3" s="288" t="s">
        <v>274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</row>
    <row r="4" spans="1:23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</row>
    <row r="5" spans="1:23" x14ac:dyDescent="0.25">
      <c r="B5" s="150"/>
      <c r="C5" s="150"/>
      <c r="D5" s="150"/>
      <c r="E5" s="150"/>
      <c r="T5" s="290"/>
      <c r="U5" s="290"/>
      <c r="V5" s="290"/>
      <c r="W5" s="290"/>
    </row>
    <row r="6" spans="1:23" ht="48" customHeight="1" x14ac:dyDescent="0.25">
      <c r="A6" s="291" t="s">
        <v>33</v>
      </c>
      <c r="B6" s="291" t="s">
        <v>55</v>
      </c>
      <c r="C6" s="292" t="s">
        <v>56</v>
      </c>
      <c r="D6" s="292" t="s">
        <v>57</v>
      </c>
      <c r="E6" s="291" t="s">
        <v>58</v>
      </c>
      <c r="F6" s="293" t="s">
        <v>247</v>
      </c>
      <c r="G6" s="294" t="s">
        <v>251</v>
      </c>
      <c r="H6" s="295"/>
      <c r="I6" s="295"/>
      <c r="J6" s="296"/>
      <c r="K6" s="217"/>
      <c r="L6" s="297" t="s">
        <v>36</v>
      </c>
      <c r="M6" s="297"/>
      <c r="N6" s="297"/>
      <c r="O6" s="297"/>
      <c r="P6" s="297"/>
      <c r="Q6" s="297" t="s">
        <v>271</v>
      </c>
      <c r="R6" s="297"/>
      <c r="S6" s="297"/>
      <c r="T6" s="297"/>
      <c r="U6" s="297" t="s">
        <v>246</v>
      </c>
      <c r="V6" s="297"/>
      <c r="W6" s="291" t="s">
        <v>31</v>
      </c>
    </row>
    <row r="7" spans="1:23" ht="63" customHeight="1" x14ac:dyDescent="0.25">
      <c r="A7" s="291"/>
      <c r="B7" s="291"/>
      <c r="C7" s="292"/>
      <c r="D7" s="292"/>
      <c r="E7" s="291"/>
      <c r="F7" s="293"/>
      <c r="G7" s="291" t="s">
        <v>269</v>
      </c>
      <c r="H7" s="297" t="s">
        <v>268</v>
      </c>
      <c r="I7" s="297" t="s">
        <v>267</v>
      </c>
      <c r="J7" s="299" t="s">
        <v>270</v>
      </c>
      <c r="K7" s="297" t="s">
        <v>35</v>
      </c>
      <c r="L7" s="297" t="e">
        <f>#REF!</f>
        <v>#REF!</v>
      </c>
      <c r="M7" s="297" t="s">
        <v>53</v>
      </c>
      <c r="N7" s="297" t="s">
        <v>51</v>
      </c>
      <c r="O7" s="297" t="s">
        <v>52</v>
      </c>
      <c r="P7" s="297" t="s">
        <v>39</v>
      </c>
      <c r="Q7" s="297" t="e">
        <f>#REF!</f>
        <v>#REF!</v>
      </c>
      <c r="R7" s="297" t="e">
        <f>#REF!</f>
        <v>#REF!</v>
      </c>
      <c r="S7" s="297" t="s">
        <v>38</v>
      </c>
      <c r="T7" s="299" t="s">
        <v>39</v>
      </c>
      <c r="U7" s="297" t="s">
        <v>236</v>
      </c>
      <c r="V7" s="297" t="s">
        <v>235</v>
      </c>
      <c r="W7" s="291"/>
    </row>
    <row r="8" spans="1:23" ht="64.5" customHeight="1" x14ac:dyDescent="0.25">
      <c r="A8" s="291"/>
      <c r="B8" s="291"/>
      <c r="C8" s="292"/>
      <c r="D8" s="292"/>
      <c r="E8" s="291"/>
      <c r="F8" s="293"/>
      <c r="G8" s="291"/>
      <c r="H8" s="297"/>
      <c r="I8" s="297"/>
      <c r="J8" s="299"/>
      <c r="K8" s="297"/>
      <c r="L8" s="297"/>
      <c r="M8" s="297"/>
      <c r="N8" s="297"/>
      <c r="O8" s="297"/>
      <c r="P8" s="297"/>
      <c r="Q8" s="297"/>
      <c r="R8" s="297"/>
      <c r="S8" s="297"/>
      <c r="T8" s="299"/>
      <c r="U8" s="297"/>
      <c r="V8" s="297"/>
      <c r="W8" s="291"/>
    </row>
    <row r="9" spans="1:23" s="221" customFormat="1" ht="22.15" customHeight="1" x14ac:dyDescent="0.25">
      <c r="A9" s="217"/>
      <c r="B9" s="219"/>
      <c r="C9" s="220"/>
      <c r="D9" s="220"/>
      <c r="E9" s="219"/>
      <c r="F9" s="217" t="s">
        <v>105</v>
      </c>
      <c r="G9" s="217"/>
      <c r="H9" s="218"/>
      <c r="I9" s="218"/>
      <c r="J9" s="267"/>
      <c r="K9" s="218"/>
      <c r="L9" s="218"/>
      <c r="M9" s="218"/>
      <c r="N9" s="218"/>
      <c r="O9" s="218"/>
      <c r="P9" s="218"/>
      <c r="Q9" s="218"/>
      <c r="R9" s="218"/>
      <c r="S9" s="218"/>
      <c r="T9" s="267"/>
      <c r="U9" s="218"/>
      <c r="V9" s="218"/>
      <c r="W9" s="249"/>
    </row>
    <row r="10" spans="1:23" s="221" customFormat="1" ht="30" hidden="1" customHeight="1" x14ac:dyDescent="0.25">
      <c r="A10" s="217" t="s">
        <v>10</v>
      </c>
      <c r="B10" s="219"/>
      <c r="C10" s="220"/>
      <c r="D10" s="220"/>
      <c r="E10" s="219"/>
      <c r="F10" s="222" t="s">
        <v>232</v>
      </c>
      <c r="G10" s="217"/>
      <c r="H10" s="218"/>
      <c r="I10" s="218"/>
      <c r="J10" s="267"/>
      <c r="K10" s="218"/>
      <c r="L10" s="218"/>
      <c r="M10" s="218"/>
      <c r="N10" s="218"/>
      <c r="O10" s="218"/>
      <c r="P10" s="218"/>
      <c r="Q10" s="218"/>
      <c r="R10" s="218"/>
      <c r="S10" s="218"/>
      <c r="T10" s="267"/>
      <c r="U10" s="218"/>
      <c r="V10" s="218"/>
      <c r="W10" s="249"/>
    </row>
    <row r="11" spans="1:23" s="221" customFormat="1" ht="33" hidden="1" customHeight="1" x14ac:dyDescent="0.25">
      <c r="A11" s="223">
        <v>1</v>
      </c>
      <c r="B11" s="219"/>
      <c r="C11" s="220"/>
      <c r="D11" s="220"/>
      <c r="E11" s="219"/>
      <c r="F11" s="224" t="s">
        <v>94</v>
      </c>
      <c r="G11" s="224"/>
      <c r="H11" s="225"/>
      <c r="I11" s="225"/>
      <c r="J11" s="257">
        <f>'Giường BHYT'!C8+'Giường BHYT'!D8</f>
        <v>368022</v>
      </c>
      <c r="K11" s="225"/>
      <c r="L11" s="225">
        <f>'Giường TT22 BYT'!C9</f>
        <v>867500</v>
      </c>
      <c r="M11" s="225">
        <f>ROUNDDOWN(N11,-2)</f>
        <v>867500</v>
      </c>
      <c r="N11" s="225">
        <f>O11+P11</f>
        <v>867504</v>
      </c>
      <c r="O11" s="225">
        <f>'Giường BHYT'!E8</f>
        <v>499482</v>
      </c>
      <c r="P11" s="257">
        <f t="shared" ref="P11:P21" si="0">J11</f>
        <v>368022</v>
      </c>
      <c r="Q11" s="225">
        <f>ROUNDDOWN(R11,-2)</f>
        <v>1017300</v>
      </c>
      <c r="R11" s="225">
        <f>S11+T11</f>
        <v>1017348.6</v>
      </c>
      <c r="S11" s="228">
        <f t="shared" ref="S11:S22" si="1">O11*2340/1800</f>
        <v>649326.6</v>
      </c>
      <c r="T11" s="257">
        <f t="shared" ref="T11:T22" si="2">J11</f>
        <v>368022</v>
      </c>
      <c r="U11" s="225" t="s">
        <v>233</v>
      </c>
      <c r="V11" s="225">
        <v>1017300</v>
      </c>
      <c r="W11" s="249"/>
    </row>
    <row r="12" spans="1:23" s="221" customFormat="1" ht="27.6" hidden="1" customHeight="1" x14ac:dyDescent="0.25">
      <c r="A12" s="223">
        <v>2</v>
      </c>
      <c r="B12" s="219"/>
      <c r="C12" s="220"/>
      <c r="D12" s="220"/>
      <c r="E12" s="219"/>
      <c r="F12" s="224" t="s">
        <v>71</v>
      </c>
      <c r="G12" s="223"/>
      <c r="H12" s="225"/>
      <c r="I12" s="225"/>
      <c r="J12" s="257">
        <f>'Giường BHYT'!C9+'Giường BHYT'!D9</f>
        <v>209854</v>
      </c>
      <c r="K12" s="225"/>
      <c r="L12" s="225">
        <f>'Giường TT22 BYT'!C10</f>
        <v>509400</v>
      </c>
      <c r="M12" s="225">
        <f t="shared" ref="M12:M21" si="3">ROUNDDOWN(N12,-2)</f>
        <v>509500</v>
      </c>
      <c r="N12" s="225">
        <f>O12+P12</f>
        <v>509546.17391304346</v>
      </c>
      <c r="O12" s="225">
        <f>'Giường BHYT'!E9</f>
        <v>299692.17391304346</v>
      </c>
      <c r="P12" s="225">
        <f t="shared" si="0"/>
        <v>209854</v>
      </c>
      <c r="Q12" s="225">
        <f t="shared" ref="Q12:Q21" si="4">ROUNDDOWN(R12,-2)</f>
        <v>599400</v>
      </c>
      <c r="R12" s="225">
        <f t="shared" ref="R12:R22" si="5">S12+T12</f>
        <v>599453.82608695654</v>
      </c>
      <c r="S12" s="228">
        <f t="shared" si="1"/>
        <v>389599.82608695654</v>
      </c>
      <c r="T12" s="257">
        <f t="shared" si="2"/>
        <v>209854</v>
      </c>
      <c r="U12" s="225" t="s">
        <v>237</v>
      </c>
      <c r="V12" s="225">
        <v>599400</v>
      </c>
      <c r="W12" s="249"/>
    </row>
    <row r="13" spans="1:23" s="221" customFormat="1" ht="23.45" hidden="1" customHeight="1" x14ac:dyDescent="0.25">
      <c r="A13" s="223">
        <v>3</v>
      </c>
      <c r="B13" s="219"/>
      <c r="C13" s="220"/>
      <c r="D13" s="220"/>
      <c r="E13" s="219"/>
      <c r="F13" s="224" t="s">
        <v>72</v>
      </c>
      <c r="G13" s="223"/>
      <c r="H13" s="225"/>
      <c r="I13" s="225"/>
      <c r="J13" s="257">
        <f>'Giường BHYT'!C10+'Giường BHYT'!D10</f>
        <v>0</v>
      </c>
      <c r="K13" s="225"/>
      <c r="L13" s="225">
        <f>'Giường TT22 BYT'!C11</f>
        <v>0</v>
      </c>
      <c r="M13" s="225">
        <f t="shared" si="3"/>
        <v>0</v>
      </c>
      <c r="N13" s="225">
        <f t="shared" ref="N13:N21" si="6">O13+P13</f>
        <v>0</v>
      </c>
      <c r="O13" s="225">
        <f>'Giường BHYT'!E10</f>
        <v>0</v>
      </c>
      <c r="P13" s="225">
        <f t="shared" si="0"/>
        <v>0</v>
      </c>
      <c r="Q13" s="225">
        <f t="shared" si="4"/>
        <v>0</v>
      </c>
      <c r="R13" s="225">
        <f t="shared" si="5"/>
        <v>0</v>
      </c>
      <c r="S13" s="228">
        <f t="shared" si="1"/>
        <v>0</v>
      </c>
      <c r="T13" s="257">
        <f t="shared" si="2"/>
        <v>0</v>
      </c>
      <c r="U13" s="225"/>
      <c r="V13" s="225"/>
      <c r="W13" s="249"/>
    </row>
    <row r="14" spans="1:23" s="221" customFormat="1" ht="64.150000000000006" hidden="1" customHeight="1" x14ac:dyDescent="0.25">
      <c r="A14" s="223" t="s">
        <v>73</v>
      </c>
      <c r="B14" s="219"/>
      <c r="C14" s="220"/>
      <c r="D14" s="220"/>
      <c r="E14" s="219"/>
      <c r="F14" s="224" t="s">
        <v>95</v>
      </c>
      <c r="G14" s="223"/>
      <c r="H14" s="225"/>
      <c r="I14" s="225"/>
      <c r="J14" s="257">
        <f>'Giường BHYT'!C11+'Giường BHYT'!D11</f>
        <v>93378</v>
      </c>
      <c r="K14" s="225"/>
      <c r="L14" s="225">
        <f>'Giường TT22 BYT'!C12</f>
        <v>273100</v>
      </c>
      <c r="M14" s="225">
        <f t="shared" si="3"/>
        <v>273100</v>
      </c>
      <c r="N14" s="225">
        <f t="shared" si="6"/>
        <v>273194</v>
      </c>
      <c r="O14" s="225">
        <f>'Giường BHYT'!E11</f>
        <v>179816</v>
      </c>
      <c r="P14" s="225">
        <f t="shared" si="0"/>
        <v>93378</v>
      </c>
      <c r="Q14" s="225">
        <f t="shared" si="4"/>
        <v>327100</v>
      </c>
      <c r="R14" s="225">
        <f t="shared" si="5"/>
        <v>327138.8</v>
      </c>
      <c r="S14" s="228">
        <f t="shared" si="1"/>
        <v>233760.8</v>
      </c>
      <c r="T14" s="257">
        <f t="shared" si="2"/>
        <v>93378</v>
      </c>
      <c r="U14" s="225" t="s">
        <v>238</v>
      </c>
      <c r="V14" s="225">
        <v>327100</v>
      </c>
      <c r="W14" s="249"/>
    </row>
    <row r="15" spans="1:23" s="221" customFormat="1" ht="70.900000000000006" hidden="1" customHeight="1" x14ac:dyDescent="0.25">
      <c r="A15" s="223" t="s">
        <v>76</v>
      </c>
      <c r="B15" s="219"/>
      <c r="C15" s="220"/>
      <c r="D15" s="220"/>
      <c r="E15" s="219"/>
      <c r="F15" s="224" t="s">
        <v>96</v>
      </c>
      <c r="G15" s="223"/>
      <c r="H15" s="225"/>
      <c r="I15" s="225"/>
      <c r="J15" s="257">
        <f>'Giường BHYT'!C12+'Giường BHYT'!D12</f>
        <v>87445</v>
      </c>
      <c r="K15" s="225"/>
      <c r="L15" s="225">
        <f>'Giường TT22 BYT'!C14</f>
        <v>247200</v>
      </c>
      <c r="M15" s="225">
        <f t="shared" si="3"/>
        <v>247200</v>
      </c>
      <c r="N15" s="225">
        <f t="shared" si="6"/>
        <v>247281</v>
      </c>
      <c r="O15" s="225">
        <f>'Giường BHYT'!E12</f>
        <v>159836</v>
      </c>
      <c r="P15" s="225">
        <f t="shared" si="0"/>
        <v>87445</v>
      </c>
      <c r="Q15" s="225">
        <f t="shared" si="4"/>
        <v>295200</v>
      </c>
      <c r="R15" s="225">
        <f t="shared" si="5"/>
        <v>295231.8</v>
      </c>
      <c r="S15" s="228">
        <f t="shared" si="1"/>
        <v>207786.8</v>
      </c>
      <c r="T15" s="257">
        <f t="shared" si="2"/>
        <v>87445</v>
      </c>
      <c r="U15" s="225" t="s">
        <v>239</v>
      </c>
      <c r="V15" s="225">
        <v>295200</v>
      </c>
      <c r="W15" s="249"/>
    </row>
    <row r="16" spans="1:23" s="221" customFormat="1" ht="23.45" hidden="1" customHeight="1" x14ac:dyDescent="0.25">
      <c r="A16" s="251" t="s">
        <v>78</v>
      </c>
      <c r="B16" s="219"/>
      <c r="C16" s="220"/>
      <c r="D16" s="220"/>
      <c r="E16" s="219"/>
      <c r="F16" s="227" t="s">
        <v>93</v>
      </c>
      <c r="G16" s="223"/>
      <c r="H16" s="225"/>
      <c r="I16" s="225"/>
      <c r="J16" s="257">
        <f>'Giường BHYT'!C13+'Giường BHYT'!D13</f>
        <v>69372</v>
      </c>
      <c r="K16" s="225"/>
      <c r="L16" s="225">
        <f>'Giường TT22 BYT'!C16</f>
        <v>209200</v>
      </c>
      <c r="M16" s="225">
        <f t="shared" si="3"/>
        <v>209200</v>
      </c>
      <c r="N16" s="225">
        <f t="shared" si="6"/>
        <v>209228.86956521738</v>
      </c>
      <c r="O16" s="225">
        <f>'Giường BHYT'!E13</f>
        <v>139856.86956521738</v>
      </c>
      <c r="P16" s="225">
        <f t="shared" si="0"/>
        <v>69372</v>
      </c>
      <c r="Q16" s="225">
        <f t="shared" si="4"/>
        <v>251100</v>
      </c>
      <c r="R16" s="225">
        <f t="shared" si="5"/>
        <v>251185.93043478261</v>
      </c>
      <c r="S16" s="228">
        <f t="shared" si="1"/>
        <v>181813.93043478261</v>
      </c>
      <c r="T16" s="257">
        <f t="shared" si="2"/>
        <v>69372</v>
      </c>
      <c r="U16" s="225" t="s">
        <v>240</v>
      </c>
      <c r="V16" s="225">
        <v>251100</v>
      </c>
      <c r="W16" s="249"/>
    </row>
    <row r="17" spans="1:23" s="221" customFormat="1" ht="33" hidden="1" customHeight="1" x14ac:dyDescent="0.25">
      <c r="A17" s="251">
        <v>4</v>
      </c>
      <c r="B17" s="219"/>
      <c r="C17" s="220"/>
      <c r="D17" s="220"/>
      <c r="E17" s="219"/>
      <c r="F17" s="227" t="s">
        <v>97</v>
      </c>
      <c r="G17" s="223"/>
      <c r="H17" s="225"/>
      <c r="I17" s="225"/>
      <c r="J17" s="257">
        <f>'Giường BHYT'!C14+'Giường BHYT'!D14</f>
        <v>0</v>
      </c>
      <c r="K17" s="225"/>
      <c r="L17" s="225">
        <f>'Giường TT22 BYT'!C15</f>
        <v>0</v>
      </c>
      <c r="M17" s="225">
        <f t="shared" si="3"/>
        <v>0</v>
      </c>
      <c r="N17" s="225">
        <f t="shared" si="6"/>
        <v>0</v>
      </c>
      <c r="O17" s="225">
        <f>'Giường BHYT'!E14</f>
        <v>0</v>
      </c>
      <c r="P17" s="225">
        <f t="shared" si="0"/>
        <v>0</v>
      </c>
      <c r="Q17" s="225">
        <f t="shared" si="4"/>
        <v>0</v>
      </c>
      <c r="R17" s="225">
        <f t="shared" si="5"/>
        <v>0</v>
      </c>
      <c r="S17" s="228">
        <f t="shared" si="1"/>
        <v>0</v>
      </c>
      <c r="T17" s="257">
        <f t="shared" si="2"/>
        <v>0</v>
      </c>
      <c r="U17" s="225"/>
      <c r="V17" s="225"/>
      <c r="W17" s="249"/>
    </row>
    <row r="18" spans="1:23" s="221" customFormat="1" ht="33" hidden="1" customHeight="1" x14ac:dyDescent="0.25">
      <c r="A18" s="251" t="s">
        <v>81</v>
      </c>
      <c r="B18" s="219"/>
      <c r="C18" s="220"/>
      <c r="D18" s="220"/>
      <c r="E18" s="219"/>
      <c r="F18" s="227" t="s">
        <v>98</v>
      </c>
      <c r="G18" s="223"/>
      <c r="H18" s="225"/>
      <c r="I18" s="225"/>
      <c r="J18" s="257">
        <f>'Giường BHYT'!C15+'Giường BHYT'!D15</f>
        <v>154781</v>
      </c>
      <c r="K18" s="225"/>
      <c r="L18" s="225">
        <f>'Giường TT22 BYT'!C18</f>
        <v>374500</v>
      </c>
      <c r="M18" s="225">
        <f t="shared" si="3"/>
        <v>374500</v>
      </c>
      <c r="N18" s="225">
        <f t="shared" si="6"/>
        <v>374556</v>
      </c>
      <c r="O18" s="225">
        <f>'Giường BHYT'!E15</f>
        <v>219775</v>
      </c>
      <c r="P18" s="225">
        <f t="shared" si="0"/>
        <v>154781</v>
      </c>
      <c r="Q18" s="225">
        <f t="shared" si="4"/>
        <v>440400</v>
      </c>
      <c r="R18" s="225">
        <f t="shared" si="5"/>
        <v>440488.5</v>
      </c>
      <c r="S18" s="228">
        <f t="shared" si="1"/>
        <v>285707.5</v>
      </c>
      <c r="T18" s="257">
        <f t="shared" si="2"/>
        <v>154781</v>
      </c>
      <c r="U18" s="225" t="s">
        <v>241</v>
      </c>
      <c r="V18" s="225">
        <v>440400</v>
      </c>
      <c r="W18" s="249"/>
    </row>
    <row r="19" spans="1:23" s="221" customFormat="1" ht="33" hidden="1" customHeight="1" x14ac:dyDescent="0.25">
      <c r="A19" s="251" t="s">
        <v>83</v>
      </c>
      <c r="B19" s="219"/>
      <c r="C19" s="220"/>
      <c r="D19" s="220"/>
      <c r="E19" s="219"/>
      <c r="F19" s="227" t="s">
        <v>99</v>
      </c>
      <c r="G19" s="223"/>
      <c r="H19" s="225"/>
      <c r="I19" s="225"/>
      <c r="J19" s="257">
        <f>'Giường BHYT'!C16+'Giường BHYT'!D16</f>
        <v>135076</v>
      </c>
      <c r="K19" s="225"/>
      <c r="L19" s="225">
        <f>'Giường TT22 BYT'!C20</f>
        <v>334800</v>
      </c>
      <c r="M19" s="225">
        <f t="shared" si="3"/>
        <v>334800</v>
      </c>
      <c r="N19" s="225">
        <f t="shared" si="6"/>
        <v>334871.30434782605</v>
      </c>
      <c r="O19" s="225">
        <f>'Giường BHYT'!E16</f>
        <v>199795.30434782608</v>
      </c>
      <c r="P19" s="225">
        <f t="shared" si="0"/>
        <v>135076</v>
      </c>
      <c r="Q19" s="225">
        <f t="shared" si="4"/>
        <v>394800</v>
      </c>
      <c r="R19" s="225">
        <f t="shared" si="5"/>
        <v>394809.8956521739</v>
      </c>
      <c r="S19" s="228">
        <f t="shared" si="1"/>
        <v>259733.8956521739</v>
      </c>
      <c r="T19" s="257">
        <f t="shared" si="2"/>
        <v>135076</v>
      </c>
      <c r="U19" s="225" t="s">
        <v>242</v>
      </c>
      <c r="V19" s="225">
        <v>394800</v>
      </c>
      <c r="W19" s="249"/>
    </row>
    <row r="20" spans="1:23" s="221" customFormat="1" ht="33" hidden="1" customHeight="1" x14ac:dyDescent="0.25">
      <c r="A20" s="251" t="s">
        <v>85</v>
      </c>
      <c r="B20" s="219"/>
      <c r="C20" s="220"/>
      <c r="D20" s="220"/>
      <c r="E20" s="219"/>
      <c r="F20" s="227" t="s">
        <v>100</v>
      </c>
      <c r="G20" s="223"/>
      <c r="H20" s="225"/>
      <c r="I20" s="225"/>
      <c r="J20" s="257">
        <f>'Giường BHYT'!C17+'Giường BHYT'!D17</f>
        <v>111932</v>
      </c>
      <c r="K20" s="225"/>
      <c r="L20" s="225">
        <f>'Giường TT22 BYT'!C22</f>
        <v>291900</v>
      </c>
      <c r="M20" s="225">
        <f t="shared" si="3"/>
        <v>291900</v>
      </c>
      <c r="N20" s="225">
        <f t="shared" si="6"/>
        <v>291903.82608695654</v>
      </c>
      <c r="O20" s="225">
        <f>'Giường BHYT'!E17</f>
        <v>179971.82608695654</v>
      </c>
      <c r="P20" s="225">
        <f t="shared" si="0"/>
        <v>111932</v>
      </c>
      <c r="Q20" s="225">
        <f t="shared" si="4"/>
        <v>345800</v>
      </c>
      <c r="R20" s="225">
        <f t="shared" si="5"/>
        <v>345895.37391304353</v>
      </c>
      <c r="S20" s="228">
        <f t="shared" si="1"/>
        <v>233963.3739130435</v>
      </c>
      <c r="T20" s="257">
        <f t="shared" si="2"/>
        <v>111932</v>
      </c>
      <c r="U20" s="225" t="s">
        <v>243</v>
      </c>
      <c r="V20" s="225">
        <v>345800</v>
      </c>
      <c r="W20" s="249"/>
    </row>
    <row r="21" spans="1:23" s="221" customFormat="1" ht="33" hidden="1" customHeight="1" x14ac:dyDescent="0.25">
      <c r="A21" s="251" t="s">
        <v>87</v>
      </c>
      <c r="B21" s="219"/>
      <c r="C21" s="220"/>
      <c r="D21" s="220"/>
      <c r="E21" s="219"/>
      <c r="F21" s="227" t="s">
        <v>101</v>
      </c>
      <c r="G21" s="223"/>
      <c r="H21" s="225"/>
      <c r="I21" s="225"/>
      <c r="J21" s="257">
        <f>'Giường BHYT'!C18+'Giường BHYT'!D18</f>
        <v>102478</v>
      </c>
      <c r="K21" s="225"/>
      <c r="L21" s="225">
        <f>'Giường TT22 BYT'!C24</f>
        <v>262300</v>
      </c>
      <c r="M21" s="225">
        <f t="shared" si="3"/>
        <v>262400</v>
      </c>
      <c r="N21" s="225">
        <f t="shared" si="6"/>
        <v>262414</v>
      </c>
      <c r="O21" s="225">
        <f>'Giường BHYT'!E18</f>
        <v>159936</v>
      </c>
      <c r="P21" s="225">
        <f t="shared" si="0"/>
        <v>102478</v>
      </c>
      <c r="Q21" s="225">
        <f t="shared" si="4"/>
        <v>310300</v>
      </c>
      <c r="R21" s="225">
        <f t="shared" si="5"/>
        <v>310394.8</v>
      </c>
      <c r="S21" s="228">
        <f t="shared" si="1"/>
        <v>207916.79999999999</v>
      </c>
      <c r="T21" s="257">
        <f t="shared" si="2"/>
        <v>102478</v>
      </c>
      <c r="U21" s="225" t="s">
        <v>244</v>
      </c>
      <c r="V21" s="225">
        <v>310300</v>
      </c>
      <c r="W21" s="249"/>
    </row>
    <row r="22" spans="1:23" ht="24.6" customHeight="1" x14ac:dyDescent="0.25">
      <c r="A22" s="223" t="s">
        <v>15</v>
      </c>
      <c r="B22" s="217"/>
      <c r="C22" s="217"/>
      <c r="D22" s="217"/>
      <c r="E22" s="217"/>
      <c r="F22" s="222" t="s">
        <v>92</v>
      </c>
      <c r="G22" s="223"/>
      <c r="H22" s="225"/>
      <c r="I22" s="225"/>
      <c r="J22" s="257"/>
      <c r="K22" s="225"/>
      <c r="L22" s="225"/>
      <c r="M22" s="225"/>
      <c r="N22" s="225"/>
      <c r="O22" s="228"/>
      <c r="P22" s="225"/>
      <c r="Q22" s="225"/>
      <c r="R22" s="225">
        <f t="shared" si="5"/>
        <v>0</v>
      </c>
      <c r="S22" s="228">
        <f t="shared" si="1"/>
        <v>0</v>
      </c>
      <c r="T22" s="257">
        <f t="shared" si="2"/>
        <v>0</v>
      </c>
      <c r="U22" s="225"/>
      <c r="V22" s="225"/>
      <c r="W22" s="249"/>
    </row>
    <row r="23" spans="1:23" ht="31.5" x14ac:dyDescent="0.25">
      <c r="A23" s="223">
        <v>1</v>
      </c>
      <c r="B23" s="217"/>
      <c r="C23" s="217"/>
      <c r="D23" s="217"/>
      <c r="E23" s="217"/>
      <c r="F23" s="224" t="s">
        <v>94</v>
      </c>
      <c r="G23" s="225">
        <v>615600</v>
      </c>
      <c r="H23" s="225">
        <f>I23+J23</f>
        <v>615601</v>
      </c>
      <c r="I23" s="225">
        <f>330910-28844</f>
        <v>302066</v>
      </c>
      <c r="J23" s="257">
        <f>284691+28844</f>
        <v>313535</v>
      </c>
      <c r="K23" s="225"/>
      <c r="L23" s="225">
        <f>'Giường TT22 BYT'!D9</f>
        <v>786300</v>
      </c>
      <c r="M23" s="225">
        <f t="shared" ref="M23:M70" si="7">+ROUNDDOWN(N23,-2)</f>
        <v>786300</v>
      </c>
      <c r="N23" s="225">
        <f>O23+P23</f>
        <v>786329</v>
      </c>
      <c r="O23" s="228">
        <f>'Giường BHYT'!E20</f>
        <v>472794</v>
      </c>
      <c r="P23" s="257">
        <f t="shared" ref="P23:P69" si="8">J23</f>
        <v>313535</v>
      </c>
      <c r="Q23" s="225">
        <f t="shared" ref="Q23:Q70" si="9">+ROUNDDOWN(R23,-2)</f>
        <v>928100</v>
      </c>
      <c r="R23" s="225">
        <f>S23+T23</f>
        <v>928173.64347826084</v>
      </c>
      <c r="S23" s="225">
        <f>I23*2340/1150</f>
        <v>614638.64347826084</v>
      </c>
      <c r="T23" s="257">
        <f>Giường!T23</f>
        <v>313535</v>
      </c>
      <c r="U23" s="229"/>
      <c r="V23" s="229"/>
      <c r="W23" s="249"/>
    </row>
    <row r="24" spans="1:23" ht="23.45" customHeight="1" x14ac:dyDescent="0.25">
      <c r="A24" s="223">
        <v>2</v>
      </c>
      <c r="B24" s="217"/>
      <c r="C24" s="217"/>
      <c r="D24" s="217"/>
      <c r="E24" s="217"/>
      <c r="F24" s="224" t="s">
        <v>71</v>
      </c>
      <c r="G24" s="225">
        <v>373900</v>
      </c>
      <c r="H24" s="225">
        <f t="shared" ref="H24:H69" si="10">I24+J24</f>
        <v>373916</v>
      </c>
      <c r="I24" s="225">
        <f>207337-28844</f>
        <v>178493</v>
      </c>
      <c r="J24" s="257">
        <f>166579+28844</f>
        <v>195423</v>
      </c>
      <c r="K24" s="225"/>
      <c r="L24" s="225">
        <f>'Giường TT22 BYT'!D10</f>
        <v>474700</v>
      </c>
      <c r="M24" s="225">
        <f t="shared" si="7"/>
        <v>474800</v>
      </c>
      <c r="N24" s="225">
        <f t="shared" ref="N24:N69" si="11">O24+P24</f>
        <v>474803.34782608697</v>
      </c>
      <c r="O24" s="228">
        <f>'Giường BHYT'!E21</f>
        <v>279380.34782608697</v>
      </c>
      <c r="P24" s="225">
        <f t="shared" si="8"/>
        <v>195423</v>
      </c>
      <c r="Q24" s="225">
        <f t="shared" si="9"/>
        <v>558600</v>
      </c>
      <c r="R24" s="225">
        <f t="shared" ref="R24:R69" si="12">S24+T24</f>
        <v>558617.45217391313</v>
      </c>
      <c r="S24" s="225">
        <f t="shared" ref="S24:S69" si="13">I24*2340/1150</f>
        <v>363194.45217391307</v>
      </c>
      <c r="T24" s="257">
        <f>Giường!T24</f>
        <v>195423</v>
      </c>
      <c r="U24" s="229"/>
      <c r="V24" s="229"/>
      <c r="W24" s="249"/>
    </row>
    <row r="25" spans="1:23" ht="29.45" customHeight="1" x14ac:dyDescent="0.25">
      <c r="A25" s="223">
        <v>3</v>
      </c>
      <c r="B25" s="217"/>
      <c r="C25" s="217"/>
      <c r="D25" s="217"/>
      <c r="E25" s="217"/>
      <c r="F25" s="224" t="s">
        <v>72</v>
      </c>
      <c r="G25" s="225"/>
      <c r="H25" s="225">
        <f t="shared" si="10"/>
        <v>0</v>
      </c>
      <c r="I25" s="225"/>
      <c r="J25" s="257"/>
      <c r="K25" s="225"/>
      <c r="L25" s="225">
        <f>'Giường TT22 BYT'!D11</f>
        <v>0</v>
      </c>
      <c r="M25" s="225">
        <f t="shared" si="7"/>
        <v>0</v>
      </c>
      <c r="N25" s="225">
        <f t="shared" si="11"/>
        <v>0</v>
      </c>
      <c r="O25" s="228">
        <f>'Giường BHYT'!E22</f>
        <v>0</v>
      </c>
      <c r="P25" s="225">
        <f t="shared" si="8"/>
        <v>0</v>
      </c>
      <c r="Q25" s="225">
        <f t="shared" si="9"/>
        <v>0</v>
      </c>
      <c r="R25" s="225">
        <f t="shared" si="12"/>
        <v>0</v>
      </c>
      <c r="S25" s="225">
        <f t="shared" si="13"/>
        <v>0</v>
      </c>
      <c r="T25" s="257">
        <f>Giường!T25</f>
        <v>0</v>
      </c>
      <c r="U25" s="229"/>
      <c r="V25" s="229"/>
      <c r="W25" s="249"/>
    </row>
    <row r="26" spans="1:23" ht="63" customHeight="1" x14ac:dyDescent="0.25">
      <c r="A26" s="223" t="s">
        <v>73</v>
      </c>
      <c r="B26" s="217"/>
      <c r="C26" s="217"/>
      <c r="D26" s="217"/>
      <c r="E26" s="217"/>
      <c r="F26" s="224" t="s">
        <v>95</v>
      </c>
      <c r="G26" s="225">
        <v>194900</v>
      </c>
      <c r="H26" s="225">
        <f t="shared" si="10"/>
        <v>194854</v>
      </c>
      <c r="I26" s="225">
        <f>126918-19929</f>
        <v>106989</v>
      </c>
      <c r="J26" s="257">
        <f>67936+19929</f>
        <v>87865</v>
      </c>
      <c r="K26" s="225"/>
      <c r="L26" s="225">
        <f>'Giường TT22 BYT'!D12</f>
        <v>255300</v>
      </c>
      <c r="M26" s="225">
        <f t="shared" si="7"/>
        <v>255300</v>
      </c>
      <c r="N26" s="225">
        <f t="shared" si="11"/>
        <v>255327</v>
      </c>
      <c r="O26" s="228">
        <f>'Giường BHYT'!E23</f>
        <v>167462</v>
      </c>
      <c r="P26" s="225">
        <f t="shared" si="8"/>
        <v>87865</v>
      </c>
      <c r="Q26" s="225">
        <f t="shared" si="9"/>
        <v>305500</v>
      </c>
      <c r="R26" s="225">
        <f t="shared" si="12"/>
        <v>305564.35652173916</v>
      </c>
      <c r="S26" s="225">
        <f t="shared" si="13"/>
        <v>217699.35652173913</v>
      </c>
      <c r="T26" s="257">
        <f>Giường!T26</f>
        <v>87865</v>
      </c>
      <c r="U26" s="229"/>
      <c r="V26" s="229"/>
      <c r="W26" s="249"/>
    </row>
    <row r="27" spans="1:23" ht="65.45" customHeight="1" x14ac:dyDescent="0.25">
      <c r="A27" s="223" t="s">
        <v>76</v>
      </c>
      <c r="B27" s="217"/>
      <c r="C27" s="217"/>
      <c r="D27" s="217"/>
      <c r="E27" s="217"/>
      <c r="F27" s="224" t="s">
        <v>96</v>
      </c>
      <c r="G27" s="225">
        <v>175400</v>
      </c>
      <c r="H27" s="225">
        <f t="shared" si="10"/>
        <v>175470</v>
      </c>
      <c r="I27" s="225">
        <f>115031-19929</f>
        <v>95102</v>
      </c>
      <c r="J27" s="257">
        <f>60439+19929</f>
        <v>80368</v>
      </c>
      <c r="K27" s="225"/>
      <c r="L27" s="225">
        <f>'Giường TT22 BYT'!D14</f>
        <v>229200</v>
      </c>
      <c r="M27" s="225">
        <f t="shared" si="7"/>
        <v>229200</v>
      </c>
      <c r="N27" s="225">
        <f t="shared" si="11"/>
        <v>229223.30434782611</v>
      </c>
      <c r="O27" s="228">
        <f>'Giường BHYT'!E24</f>
        <v>148855.30434782611</v>
      </c>
      <c r="P27" s="225">
        <f t="shared" si="8"/>
        <v>80368</v>
      </c>
      <c r="Q27" s="225">
        <f t="shared" si="9"/>
        <v>273800</v>
      </c>
      <c r="R27" s="225">
        <f t="shared" si="12"/>
        <v>273879.8956521739</v>
      </c>
      <c r="S27" s="225">
        <f t="shared" si="13"/>
        <v>193511.8956521739</v>
      </c>
      <c r="T27" s="257">
        <f>Giường!T27</f>
        <v>80368</v>
      </c>
      <c r="U27" s="229"/>
      <c r="V27" s="229"/>
      <c r="W27" s="249"/>
    </row>
    <row r="28" spans="1:23" ht="24" customHeight="1" x14ac:dyDescent="0.25">
      <c r="A28" s="251" t="s">
        <v>78</v>
      </c>
      <c r="B28" s="226"/>
      <c r="C28" s="226"/>
      <c r="D28" s="226"/>
      <c r="E28" s="226"/>
      <c r="F28" s="227" t="s">
        <v>93</v>
      </c>
      <c r="G28" s="225">
        <v>146900</v>
      </c>
      <c r="H28" s="225">
        <f t="shared" si="10"/>
        <v>146852</v>
      </c>
      <c r="I28" s="232">
        <f>103143-19929</f>
        <v>83214</v>
      </c>
      <c r="J28" s="257">
        <f>43709+19929</f>
        <v>63638</v>
      </c>
      <c r="K28" s="232"/>
      <c r="L28" s="225">
        <f>'Giường TT22 BYT'!D16</f>
        <v>193800</v>
      </c>
      <c r="M28" s="225">
        <f t="shared" si="7"/>
        <v>193800</v>
      </c>
      <c r="N28" s="225">
        <f t="shared" si="11"/>
        <v>193886</v>
      </c>
      <c r="O28" s="228">
        <f>'Giường BHYT'!E25</f>
        <v>130248</v>
      </c>
      <c r="P28" s="225">
        <f t="shared" si="8"/>
        <v>63638</v>
      </c>
      <c r="Q28" s="225">
        <f t="shared" si="9"/>
        <v>232900</v>
      </c>
      <c r="R28" s="225">
        <f t="shared" si="12"/>
        <v>232960.4</v>
      </c>
      <c r="S28" s="225">
        <f t="shared" si="13"/>
        <v>169322.4</v>
      </c>
      <c r="T28" s="257">
        <f>Giường!T28</f>
        <v>63638</v>
      </c>
      <c r="U28" s="229"/>
      <c r="V28" s="229"/>
      <c r="W28" s="249"/>
    </row>
    <row r="29" spans="1:23" ht="30" customHeight="1" x14ac:dyDescent="0.25">
      <c r="A29" s="251">
        <v>4</v>
      </c>
      <c r="B29" s="226"/>
      <c r="C29" s="226"/>
      <c r="D29" s="226"/>
      <c r="E29" s="226"/>
      <c r="F29" s="227" t="s">
        <v>97</v>
      </c>
      <c r="G29" s="225"/>
      <c r="H29" s="225">
        <f t="shared" si="10"/>
        <v>0</v>
      </c>
      <c r="I29" s="232"/>
      <c r="J29" s="257"/>
      <c r="K29" s="232"/>
      <c r="L29" s="225"/>
      <c r="M29" s="225">
        <f t="shared" si="7"/>
        <v>0</v>
      </c>
      <c r="N29" s="225">
        <f t="shared" si="11"/>
        <v>0</v>
      </c>
      <c r="O29" s="228">
        <f>'Giường BHYT'!E26</f>
        <v>0</v>
      </c>
      <c r="P29" s="225">
        <f t="shared" si="8"/>
        <v>0</v>
      </c>
      <c r="Q29" s="225">
        <f t="shared" si="9"/>
        <v>0</v>
      </c>
      <c r="R29" s="225">
        <f t="shared" si="12"/>
        <v>0</v>
      </c>
      <c r="S29" s="225">
        <f t="shared" si="13"/>
        <v>0</v>
      </c>
      <c r="T29" s="257">
        <f>Giường!T29</f>
        <v>0</v>
      </c>
      <c r="U29" s="229"/>
      <c r="V29" s="229"/>
      <c r="W29" s="249"/>
    </row>
    <row r="30" spans="1:23" ht="31.5" x14ac:dyDescent="0.25">
      <c r="A30" s="251" t="s">
        <v>81</v>
      </c>
      <c r="B30" s="226"/>
      <c r="C30" s="226"/>
      <c r="D30" s="226"/>
      <c r="E30" s="226"/>
      <c r="F30" s="227" t="s">
        <v>98</v>
      </c>
      <c r="G30" s="225">
        <v>265100</v>
      </c>
      <c r="H30" s="225">
        <f t="shared" si="10"/>
        <v>265131</v>
      </c>
      <c r="I30" s="232">
        <f>150694-19929</f>
        <v>130765</v>
      </c>
      <c r="J30" s="257">
        <f>114437+19929</f>
        <v>134366</v>
      </c>
      <c r="K30" s="232"/>
      <c r="L30" s="225">
        <f>'Giường TT22 BYT'!D18</f>
        <v>339000</v>
      </c>
      <c r="M30" s="225">
        <f t="shared" si="7"/>
        <v>339000</v>
      </c>
      <c r="N30" s="225">
        <f t="shared" si="11"/>
        <v>339041</v>
      </c>
      <c r="O30" s="228">
        <f>'Giường BHYT'!E27</f>
        <v>204675</v>
      </c>
      <c r="P30" s="225">
        <f t="shared" si="8"/>
        <v>134366</v>
      </c>
      <c r="Q30" s="225">
        <f t="shared" si="9"/>
        <v>400400</v>
      </c>
      <c r="R30" s="225">
        <f t="shared" si="12"/>
        <v>400444.34782608697</v>
      </c>
      <c r="S30" s="225">
        <f t="shared" si="13"/>
        <v>266078.34782608697</v>
      </c>
      <c r="T30" s="257">
        <f>Giường!T30</f>
        <v>134366</v>
      </c>
      <c r="U30" s="229"/>
      <c r="V30" s="229"/>
      <c r="W30" s="249"/>
    </row>
    <row r="31" spans="1:23" ht="31.5" x14ac:dyDescent="0.25">
      <c r="A31" s="251" t="s">
        <v>83</v>
      </c>
      <c r="B31" s="226"/>
      <c r="C31" s="226"/>
      <c r="D31" s="226"/>
      <c r="E31" s="226"/>
      <c r="F31" s="227" t="s">
        <v>99</v>
      </c>
      <c r="G31" s="225">
        <v>241400</v>
      </c>
      <c r="H31" s="225">
        <f t="shared" si="10"/>
        <v>241392</v>
      </c>
      <c r="I31" s="232">
        <f>138806-19929</f>
        <v>118877</v>
      </c>
      <c r="J31" s="257">
        <f>102586+19929</f>
        <v>122515</v>
      </c>
      <c r="K31" s="232"/>
      <c r="L31" s="225">
        <f>'Giường TT22 BYT'!D20</f>
        <v>308500</v>
      </c>
      <c r="M31" s="225">
        <f t="shared" si="7"/>
        <v>308500</v>
      </c>
      <c r="N31" s="225">
        <f t="shared" si="11"/>
        <v>308584</v>
      </c>
      <c r="O31" s="228">
        <f>'Giường BHYT'!E28</f>
        <v>186069</v>
      </c>
      <c r="P31" s="225">
        <f t="shared" si="8"/>
        <v>122515</v>
      </c>
      <c r="Q31" s="225">
        <f t="shared" si="9"/>
        <v>364400</v>
      </c>
      <c r="R31" s="225">
        <f t="shared" si="12"/>
        <v>364403.85217391304</v>
      </c>
      <c r="S31" s="225">
        <f t="shared" si="13"/>
        <v>241888.85217391304</v>
      </c>
      <c r="T31" s="257">
        <f>Giường!T31</f>
        <v>122515</v>
      </c>
      <c r="U31" s="229"/>
      <c r="V31" s="229"/>
      <c r="W31" s="249"/>
    </row>
    <row r="32" spans="1:23" ht="31.5" x14ac:dyDescent="0.25">
      <c r="A32" s="251" t="s">
        <v>85</v>
      </c>
      <c r="B32" s="226"/>
      <c r="C32" s="226"/>
      <c r="D32" s="226"/>
      <c r="E32" s="226"/>
      <c r="F32" s="227" t="s">
        <v>100</v>
      </c>
      <c r="G32" s="225">
        <v>210100</v>
      </c>
      <c r="H32" s="225">
        <f t="shared" si="10"/>
        <v>210059</v>
      </c>
      <c r="I32" s="232">
        <f>126918-19929</f>
        <v>106989</v>
      </c>
      <c r="J32" s="257">
        <f>83141+19929</f>
        <v>103070</v>
      </c>
      <c r="K32" s="232"/>
      <c r="L32" s="225">
        <f>'Giường TT22 BYT'!D22</f>
        <v>270500</v>
      </c>
      <c r="M32" s="225">
        <f t="shared" si="7"/>
        <v>270500</v>
      </c>
      <c r="N32" s="225">
        <f t="shared" si="11"/>
        <v>270532</v>
      </c>
      <c r="O32" s="228">
        <f>'Giường BHYT'!E29</f>
        <v>167462</v>
      </c>
      <c r="P32" s="225">
        <f t="shared" si="8"/>
        <v>103070</v>
      </c>
      <c r="Q32" s="225">
        <f t="shared" si="9"/>
        <v>320700</v>
      </c>
      <c r="R32" s="225">
        <f t="shared" si="12"/>
        <v>320769.35652173916</v>
      </c>
      <c r="S32" s="225">
        <f t="shared" si="13"/>
        <v>217699.35652173913</v>
      </c>
      <c r="T32" s="257">
        <f>Giường!T32</f>
        <v>103070</v>
      </c>
      <c r="U32" s="229"/>
      <c r="V32" s="229"/>
      <c r="W32" s="249"/>
    </row>
    <row r="33" spans="1:23" ht="31.5" x14ac:dyDescent="0.25">
      <c r="A33" s="251" t="s">
        <v>87</v>
      </c>
      <c r="B33" s="226"/>
      <c r="C33" s="226"/>
      <c r="D33" s="226"/>
      <c r="E33" s="226"/>
      <c r="F33" s="227" t="s">
        <v>101</v>
      </c>
      <c r="G33" s="225">
        <v>188400</v>
      </c>
      <c r="H33" s="225">
        <f t="shared" si="10"/>
        <v>188374</v>
      </c>
      <c r="I33" s="232">
        <f>115031-19929</f>
        <v>95102</v>
      </c>
      <c r="J33" s="257">
        <f>73343+19929</f>
        <v>93272</v>
      </c>
      <c r="K33" s="232"/>
      <c r="L33" s="225">
        <f>'Giường TT22 BYT'!D24</f>
        <v>242100</v>
      </c>
      <c r="M33" s="225">
        <f t="shared" si="7"/>
        <v>242100</v>
      </c>
      <c r="N33" s="225">
        <f t="shared" si="11"/>
        <v>242127.30434782611</v>
      </c>
      <c r="O33" s="228">
        <f>'Giường BHYT'!E30</f>
        <v>148855.30434782611</v>
      </c>
      <c r="P33" s="225">
        <f t="shared" si="8"/>
        <v>93272</v>
      </c>
      <c r="Q33" s="225">
        <f t="shared" si="9"/>
        <v>286700</v>
      </c>
      <c r="R33" s="225">
        <f t="shared" si="12"/>
        <v>286783.8956521739</v>
      </c>
      <c r="S33" s="225">
        <f t="shared" si="13"/>
        <v>193511.8956521739</v>
      </c>
      <c r="T33" s="257">
        <f>Giường!T33</f>
        <v>93272</v>
      </c>
      <c r="U33" s="229"/>
      <c r="V33" s="229"/>
      <c r="W33" s="249"/>
    </row>
    <row r="34" spans="1:23" s="221" customFormat="1" ht="22.9" customHeight="1" x14ac:dyDescent="0.25">
      <c r="A34" s="277" t="s">
        <v>20</v>
      </c>
      <c r="B34" s="233"/>
      <c r="C34" s="233"/>
      <c r="D34" s="233"/>
      <c r="E34" s="233"/>
      <c r="F34" s="234" t="s">
        <v>102</v>
      </c>
      <c r="G34" s="225"/>
      <c r="H34" s="225">
        <f t="shared" si="10"/>
        <v>0</v>
      </c>
      <c r="I34" s="232"/>
      <c r="J34" s="257"/>
      <c r="K34" s="232"/>
      <c r="L34" s="225"/>
      <c r="M34" s="225">
        <f t="shared" si="7"/>
        <v>0</v>
      </c>
      <c r="N34" s="225">
        <f t="shared" si="11"/>
        <v>0</v>
      </c>
      <c r="O34" s="228">
        <f>'Giường BHYT'!E31</f>
        <v>0</v>
      </c>
      <c r="P34" s="225">
        <f t="shared" si="8"/>
        <v>0</v>
      </c>
      <c r="Q34" s="225">
        <f t="shared" si="9"/>
        <v>0</v>
      </c>
      <c r="R34" s="225">
        <f t="shared" si="12"/>
        <v>0</v>
      </c>
      <c r="S34" s="225">
        <f t="shared" si="13"/>
        <v>0</v>
      </c>
      <c r="T34" s="257">
        <f>Giường!T34</f>
        <v>0</v>
      </c>
      <c r="U34" s="225"/>
      <c r="V34" s="225"/>
      <c r="W34" s="249"/>
    </row>
    <row r="35" spans="1:23" ht="31.5" x14ac:dyDescent="0.25">
      <c r="A35" s="251">
        <v>1</v>
      </c>
      <c r="B35" s="226"/>
      <c r="C35" s="226"/>
      <c r="D35" s="226"/>
      <c r="E35" s="226"/>
      <c r="F35" s="227" t="s">
        <v>94</v>
      </c>
      <c r="G35" s="225">
        <v>522600</v>
      </c>
      <c r="H35" s="225">
        <f t="shared" si="10"/>
        <v>522588</v>
      </c>
      <c r="I35" s="225">
        <f>289150-21385</f>
        <v>267765</v>
      </c>
      <c r="J35" s="257">
        <f>233438+21385</f>
        <v>254823</v>
      </c>
      <c r="K35" s="232"/>
      <c r="L35" s="225">
        <f>'Giường TT22 BYT'!E9</f>
        <v>673900</v>
      </c>
      <c r="M35" s="225">
        <f t="shared" si="7"/>
        <v>673900</v>
      </c>
      <c r="N35" s="225">
        <f t="shared" si="11"/>
        <v>673929</v>
      </c>
      <c r="O35" s="228">
        <f>'Giường BHYT'!E32</f>
        <v>419106</v>
      </c>
      <c r="P35" s="225">
        <f t="shared" si="8"/>
        <v>254823</v>
      </c>
      <c r="Q35" s="225">
        <f t="shared" si="9"/>
        <v>799600</v>
      </c>
      <c r="R35" s="225">
        <f t="shared" si="12"/>
        <v>799666.56521739135</v>
      </c>
      <c r="S35" s="225">
        <f t="shared" si="13"/>
        <v>544843.56521739135</v>
      </c>
      <c r="T35" s="257">
        <f>Giường!T35</f>
        <v>254823</v>
      </c>
      <c r="U35" s="225"/>
      <c r="V35" s="225"/>
      <c r="W35" s="249"/>
    </row>
    <row r="36" spans="1:23" x14ac:dyDescent="0.25">
      <c r="A36" s="251">
        <v>2</v>
      </c>
      <c r="B36" s="226"/>
      <c r="C36" s="226"/>
      <c r="D36" s="226"/>
      <c r="E36" s="226"/>
      <c r="F36" s="227" t="s">
        <v>71</v>
      </c>
      <c r="G36" s="225">
        <v>287800</v>
      </c>
      <c r="H36" s="225">
        <f t="shared" si="10"/>
        <v>287808</v>
      </c>
      <c r="I36" s="232">
        <f>147721-21385</f>
        <v>126336</v>
      </c>
      <c r="J36" s="257">
        <f>140087+21385</f>
        <v>161472</v>
      </c>
      <c r="K36" s="232"/>
      <c r="L36" s="225">
        <f>'Giường TT22 BYT'!E10</f>
        <v>359200</v>
      </c>
      <c r="M36" s="225">
        <f t="shared" si="7"/>
        <v>359200</v>
      </c>
      <c r="N36" s="225">
        <f t="shared" si="11"/>
        <v>359215.30434782605</v>
      </c>
      <c r="O36" s="228">
        <f>'Giường BHYT'!E33</f>
        <v>197743.30434782608</v>
      </c>
      <c r="P36" s="225">
        <f t="shared" si="8"/>
        <v>161472</v>
      </c>
      <c r="Q36" s="225">
        <f t="shared" si="9"/>
        <v>418500</v>
      </c>
      <c r="R36" s="225">
        <f t="shared" si="12"/>
        <v>418538.29565217393</v>
      </c>
      <c r="S36" s="225">
        <f t="shared" si="13"/>
        <v>257066.29565217393</v>
      </c>
      <c r="T36" s="257">
        <f>Giường!T36</f>
        <v>161472</v>
      </c>
      <c r="U36" s="225"/>
      <c r="V36" s="225"/>
      <c r="W36" s="249"/>
    </row>
    <row r="37" spans="1:23" x14ac:dyDescent="0.25">
      <c r="A37" s="251">
        <v>3</v>
      </c>
      <c r="B37" s="226"/>
      <c r="C37" s="226"/>
      <c r="D37" s="226"/>
      <c r="E37" s="226"/>
      <c r="F37" s="227" t="s">
        <v>72</v>
      </c>
      <c r="G37" s="225"/>
      <c r="H37" s="225">
        <f t="shared" si="10"/>
        <v>0</v>
      </c>
      <c r="I37" s="232"/>
      <c r="J37" s="257"/>
      <c r="K37" s="232"/>
      <c r="L37" s="225">
        <f>'Giường TT22 BYT'!E11</f>
        <v>0</v>
      </c>
      <c r="M37" s="225">
        <f t="shared" si="7"/>
        <v>0</v>
      </c>
      <c r="N37" s="225">
        <f t="shared" si="11"/>
        <v>0</v>
      </c>
      <c r="O37" s="228">
        <f>'Giường BHYT'!E34</f>
        <v>0</v>
      </c>
      <c r="P37" s="225">
        <f t="shared" si="8"/>
        <v>0</v>
      </c>
      <c r="Q37" s="225">
        <f t="shared" si="9"/>
        <v>0</v>
      </c>
      <c r="R37" s="225">
        <f t="shared" si="12"/>
        <v>0</v>
      </c>
      <c r="S37" s="225">
        <f t="shared" si="13"/>
        <v>0</v>
      </c>
      <c r="T37" s="257">
        <f>Giường!T37</f>
        <v>0</v>
      </c>
      <c r="U37" s="225"/>
      <c r="V37" s="225"/>
      <c r="W37" s="249"/>
    </row>
    <row r="38" spans="1:23" ht="47.25" x14ac:dyDescent="0.25">
      <c r="A38" s="251" t="s">
        <v>73</v>
      </c>
      <c r="B38" s="226"/>
      <c r="C38" s="226"/>
      <c r="D38" s="226"/>
      <c r="E38" s="226"/>
      <c r="F38" s="227" t="s">
        <v>95</v>
      </c>
      <c r="G38" s="225">
        <v>159100</v>
      </c>
      <c r="H38" s="225">
        <f t="shared" si="10"/>
        <v>159053</v>
      </c>
      <c r="I38" s="244">
        <f>109659-14907</f>
        <v>94752</v>
      </c>
      <c r="J38" s="257">
        <f>49394+14907</f>
        <v>64301</v>
      </c>
      <c r="K38" s="232"/>
      <c r="L38" s="225">
        <f>'Giường TT22 BYT'!E12</f>
        <v>212600</v>
      </c>
      <c r="M38" s="225">
        <f t="shared" si="7"/>
        <v>212600</v>
      </c>
      <c r="N38" s="225">
        <f t="shared" si="11"/>
        <v>212609</v>
      </c>
      <c r="O38" s="228">
        <f>'Giường BHYT'!E35</f>
        <v>148308</v>
      </c>
      <c r="P38" s="225">
        <f t="shared" si="8"/>
        <v>64301</v>
      </c>
      <c r="Q38" s="225">
        <f t="shared" si="9"/>
        <v>257100</v>
      </c>
      <c r="R38" s="225">
        <f t="shared" si="12"/>
        <v>257100.72173913044</v>
      </c>
      <c r="S38" s="225">
        <f t="shared" si="13"/>
        <v>192799.72173913044</v>
      </c>
      <c r="T38" s="257">
        <f>Giường!T38</f>
        <v>64301</v>
      </c>
      <c r="U38" s="225"/>
      <c r="V38" s="225"/>
      <c r="W38" s="249"/>
    </row>
    <row r="39" spans="1:23" ht="70.5" customHeight="1" x14ac:dyDescent="0.25">
      <c r="A39" s="251" t="s">
        <v>76</v>
      </c>
      <c r="B39" s="226"/>
      <c r="C39" s="226"/>
      <c r="D39" s="226"/>
      <c r="E39" s="226"/>
      <c r="F39" s="227" t="s">
        <v>96</v>
      </c>
      <c r="G39" s="225">
        <v>135100</v>
      </c>
      <c r="H39" s="225">
        <f t="shared" si="10"/>
        <v>135149</v>
      </c>
      <c r="I39" s="244">
        <f>99131-14907</f>
        <v>84224</v>
      </c>
      <c r="J39" s="257">
        <f>36018+14907</f>
        <v>50925</v>
      </c>
      <c r="K39" s="232"/>
      <c r="L39" s="225">
        <f>'Giường TT22 BYT'!E14</f>
        <v>182700</v>
      </c>
      <c r="M39" s="225">
        <f t="shared" si="7"/>
        <v>182700</v>
      </c>
      <c r="N39" s="225">
        <f t="shared" si="11"/>
        <v>182753.86956521741</v>
      </c>
      <c r="O39" s="228">
        <f>'Giường BHYT'!E36</f>
        <v>131828.86956521741</v>
      </c>
      <c r="P39" s="225">
        <f t="shared" si="8"/>
        <v>50925</v>
      </c>
      <c r="Q39" s="225">
        <f t="shared" si="9"/>
        <v>222300</v>
      </c>
      <c r="R39" s="225">
        <f t="shared" si="12"/>
        <v>222302.53043478262</v>
      </c>
      <c r="S39" s="225">
        <f t="shared" si="13"/>
        <v>171377.53043478262</v>
      </c>
      <c r="T39" s="257">
        <f>Giường!T39</f>
        <v>50925</v>
      </c>
      <c r="U39" s="225"/>
      <c r="V39" s="225"/>
      <c r="W39" s="249"/>
    </row>
    <row r="40" spans="1:23" ht="23.25" customHeight="1" x14ac:dyDescent="0.25">
      <c r="A40" s="251" t="s">
        <v>78</v>
      </c>
      <c r="B40" s="226"/>
      <c r="C40" s="226"/>
      <c r="D40" s="226"/>
      <c r="E40" s="226"/>
      <c r="F40" s="227" t="s">
        <v>93</v>
      </c>
      <c r="G40" s="225">
        <v>111900</v>
      </c>
      <c r="H40" s="225">
        <f t="shared" si="10"/>
        <v>111981</v>
      </c>
      <c r="I40" s="232">
        <f>78075-14907</f>
        <v>63168</v>
      </c>
      <c r="J40" s="257">
        <f>33906+14907</f>
        <v>48813</v>
      </c>
      <c r="K40" s="232"/>
      <c r="L40" s="225">
        <f>'Giường TT22 BYT'!E16</f>
        <v>147600</v>
      </c>
      <c r="M40" s="225">
        <f t="shared" si="7"/>
        <v>147600</v>
      </c>
      <c r="N40" s="225">
        <f t="shared" si="11"/>
        <v>147684.65217391303</v>
      </c>
      <c r="O40" s="228">
        <f>'Giường BHYT'!E37</f>
        <v>98871.65217391304</v>
      </c>
      <c r="P40" s="225">
        <f t="shared" si="8"/>
        <v>48813</v>
      </c>
      <c r="Q40" s="225">
        <f t="shared" si="9"/>
        <v>177300</v>
      </c>
      <c r="R40" s="225">
        <f t="shared" si="12"/>
        <v>177346.14782608696</v>
      </c>
      <c r="S40" s="225">
        <f t="shared" si="13"/>
        <v>128533.14782608696</v>
      </c>
      <c r="T40" s="257">
        <f>Giường!T40</f>
        <v>48813</v>
      </c>
      <c r="U40" s="225"/>
      <c r="V40" s="225"/>
      <c r="W40" s="249"/>
    </row>
    <row r="41" spans="1:23" ht="18.75" customHeight="1" x14ac:dyDescent="0.25">
      <c r="A41" s="251">
        <v>4</v>
      </c>
      <c r="B41" s="226"/>
      <c r="C41" s="226"/>
      <c r="D41" s="226"/>
      <c r="E41" s="226"/>
      <c r="F41" s="227" t="s">
        <v>97</v>
      </c>
      <c r="G41" s="225"/>
      <c r="H41" s="225">
        <f t="shared" si="10"/>
        <v>0</v>
      </c>
      <c r="I41" s="232"/>
      <c r="J41" s="257"/>
      <c r="K41" s="232"/>
      <c r="L41" s="225">
        <f>'Giường TT22 BYT'!E15</f>
        <v>0</v>
      </c>
      <c r="M41" s="225">
        <f t="shared" si="7"/>
        <v>0</v>
      </c>
      <c r="N41" s="225">
        <f t="shared" si="11"/>
        <v>0</v>
      </c>
      <c r="O41" s="228">
        <f>'Giường BHYT'!E38</f>
        <v>0</v>
      </c>
      <c r="P41" s="225">
        <f t="shared" si="8"/>
        <v>0</v>
      </c>
      <c r="Q41" s="225">
        <f t="shared" si="9"/>
        <v>0</v>
      </c>
      <c r="R41" s="225">
        <f t="shared" si="12"/>
        <v>0</v>
      </c>
      <c r="S41" s="225">
        <f t="shared" si="13"/>
        <v>0</v>
      </c>
      <c r="T41" s="257">
        <f>Giường!T41</f>
        <v>0</v>
      </c>
      <c r="U41" s="225"/>
      <c r="V41" s="225"/>
      <c r="W41" s="249"/>
    </row>
    <row r="42" spans="1:23" ht="36" customHeight="1" x14ac:dyDescent="0.25">
      <c r="A42" s="251" t="s">
        <v>81</v>
      </c>
      <c r="B42" s="226"/>
      <c r="C42" s="226"/>
      <c r="D42" s="226"/>
      <c r="E42" s="226"/>
      <c r="F42" s="227" t="s">
        <v>98</v>
      </c>
      <c r="G42" s="225">
        <v>222100</v>
      </c>
      <c r="H42" s="225">
        <f t="shared" si="10"/>
        <v>222054</v>
      </c>
      <c r="I42" s="244">
        <f>130715-14907</f>
        <v>115808</v>
      </c>
      <c r="J42" s="257">
        <f>91339+14907</f>
        <v>106246</v>
      </c>
      <c r="K42" s="232"/>
      <c r="L42" s="225">
        <f>'Giường TT22 BYT'!E18</f>
        <v>287500</v>
      </c>
      <c r="M42" s="225">
        <f t="shared" si="7"/>
        <v>287500</v>
      </c>
      <c r="N42" s="225">
        <f t="shared" si="11"/>
        <v>287510.69565217395</v>
      </c>
      <c r="O42" s="228">
        <f>'Giường BHYT'!E39</f>
        <v>181264.69565217392</v>
      </c>
      <c r="P42" s="225">
        <f t="shared" si="8"/>
        <v>106246</v>
      </c>
      <c r="Q42" s="225">
        <f t="shared" si="9"/>
        <v>341800</v>
      </c>
      <c r="R42" s="225">
        <f t="shared" si="12"/>
        <v>341890.1043478261</v>
      </c>
      <c r="S42" s="225">
        <f t="shared" si="13"/>
        <v>235644.1043478261</v>
      </c>
      <c r="T42" s="257">
        <f>Giường!T42</f>
        <v>106246</v>
      </c>
      <c r="U42" s="225"/>
      <c r="V42" s="225"/>
      <c r="W42" s="249"/>
    </row>
    <row r="43" spans="1:23" ht="31.5" x14ac:dyDescent="0.25">
      <c r="A43" s="251" t="s">
        <v>83</v>
      </c>
      <c r="B43" s="226"/>
      <c r="C43" s="226"/>
      <c r="D43" s="226"/>
      <c r="E43" s="226"/>
      <c r="F43" s="227" t="s">
        <v>99</v>
      </c>
      <c r="G43" s="225">
        <v>192700</v>
      </c>
      <c r="H43" s="225">
        <f t="shared" si="10"/>
        <v>192659</v>
      </c>
      <c r="I43" s="244">
        <f>120187-14907</f>
        <v>105280</v>
      </c>
      <c r="J43" s="257">
        <f>72472+14907</f>
        <v>87379</v>
      </c>
      <c r="K43" s="232"/>
      <c r="L43" s="225">
        <f>'Giường TT22 BYT'!E20</f>
        <v>252100</v>
      </c>
      <c r="M43" s="225">
        <f t="shared" si="7"/>
        <v>252100</v>
      </c>
      <c r="N43" s="225">
        <f t="shared" si="11"/>
        <v>252165.08695652173</v>
      </c>
      <c r="O43" s="228">
        <f>'Giường BHYT'!E40</f>
        <v>164786.08695652173</v>
      </c>
      <c r="P43" s="225">
        <f t="shared" si="8"/>
        <v>87379</v>
      </c>
      <c r="Q43" s="225">
        <f t="shared" si="9"/>
        <v>301600</v>
      </c>
      <c r="R43" s="225">
        <f t="shared" si="12"/>
        <v>301600.91304347827</v>
      </c>
      <c r="S43" s="225">
        <f t="shared" si="13"/>
        <v>214221.91304347827</v>
      </c>
      <c r="T43" s="257">
        <f>Giường!T43</f>
        <v>87379</v>
      </c>
      <c r="U43" s="225"/>
      <c r="V43" s="225"/>
      <c r="W43" s="249"/>
    </row>
    <row r="44" spans="1:23" ht="31.5" x14ac:dyDescent="0.25">
      <c r="A44" s="251" t="s">
        <v>85</v>
      </c>
      <c r="B44" s="226"/>
      <c r="C44" s="226"/>
      <c r="D44" s="226"/>
      <c r="E44" s="226"/>
      <c r="F44" s="227" t="s">
        <v>100</v>
      </c>
      <c r="G44" s="225">
        <v>171200</v>
      </c>
      <c r="H44" s="225">
        <f t="shared" si="10"/>
        <v>171227</v>
      </c>
      <c r="I44" s="244">
        <f>109659-14907</f>
        <v>94752</v>
      </c>
      <c r="J44" s="257">
        <f>61568+14907</f>
        <v>76475</v>
      </c>
      <c r="K44" s="232"/>
      <c r="L44" s="225">
        <f>'Giường TT22 BYT'!E22</f>
        <v>224700</v>
      </c>
      <c r="M44" s="225">
        <f t="shared" si="7"/>
        <v>224700</v>
      </c>
      <c r="N44" s="225">
        <f t="shared" si="11"/>
        <v>224783</v>
      </c>
      <c r="O44" s="228">
        <f>'Giường BHYT'!E41</f>
        <v>148308</v>
      </c>
      <c r="P44" s="225">
        <f t="shared" si="8"/>
        <v>76475</v>
      </c>
      <c r="Q44" s="225">
        <f t="shared" si="9"/>
        <v>269200</v>
      </c>
      <c r="R44" s="225">
        <f t="shared" si="12"/>
        <v>269274.72173913044</v>
      </c>
      <c r="S44" s="225">
        <f t="shared" si="13"/>
        <v>192799.72173913044</v>
      </c>
      <c r="T44" s="257">
        <f>Giường!T44</f>
        <v>76475</v>
      </c>
      <c r="U44" s="225"/>
      <c r="V44" s="225"/>
      <c r="W44" s="249"/>
    </row>
    <row r="45" spans="1:23" ht="31.5" x14ac:dyDescent="0.25">
      <c r="A45" s="251" t="s">
        <v>87</v>
      </c>
      <c r="B45" s="226"/>
      <c r="C45" s="226"/>
      <c r="D45" s="226"/>
      <c r="E45" s="226"/>
      <c r="F45" s="227" t="s">
        <v>101</v>
      </c>
      <c r="G45" s="225">
        <v>147400</v>
      </c>
      <c r="H45" s="225">
        <f t="shared" si="10"/>
        <v>147495</v>
      </c>
      <c r="I45" s="244">
        <f>93867-14907</f>
        <v>78960</v>
      </c>
      <c r="J45" s="257">
        <f>53628+14907</f>
        <v>68535</v>
      </c>
      <c r="K45" s="232"/>
      <c r="L45" s="225">
        <f>'Giường TT22 BYT'!E24</f>
        <v>192100</v>
      </c>
      <c r="M45" s="225">
        <f t="shared" si="7"/>
        <v>192100</v>
      </c>
      <c r="N45" s="225">
        <f t="shared" si="11"/>
        <v>192124.5652173913</v>
      </c>
      <c r="O45" s="228">
        <f>'Giường BHYT'!E42</f>
        <v>123589.56521739131</v>
      </c>
      <c r="P45" s="225">
        <f t="shared" si="8"/>
        <v>68535</v>
      </c>
      <c r="Q45" s="225">
        <f t="shared" si="9"/>
        <v>229200</v>
      </c>
      <c r="R45" s="225">
        <f t="shared" si="12"/>
        <v>229201.4347826087</v>
      </c>
      <c r="S45" s="225">
        <f t="shared" si="13"/>
        <v>160666.4347826087</v>
      </c>
      <c r="T45" s="257">
        <f>Giường!T45</f>
        <v>68535</v>
      </c>
      <c r="U45" s="225"/>
      <c r="V45" s="225"/>
      <c r="W45" s="249"/>
    </row>
    <row r="46" spans="1:23" s="221" customFormat="1" ht="25.9" customHeight="1" x14ac:dyDescent="0.25">
      <c r="A46" s="277" t="s">
        <v>22</v>
      </c>
      <c r="B46" s="233"/>
      <c r="C46" s="233"/>
      <c r="D46" s="233"/>
      <c r="E46" s="233"/>
      <c r="F46" s="234" t="s">
        <v>103</v>
      </c>
      <c r="G46" s="225"/>
      <c r="H46" s="225">
        <f t="shared" si="10"/>
        <v>0</v>
      </c>
      <c r="I46" s="232"/>
      <c r="J46" s="257"/>
      <c r="K46" s="232"/>
      <c r="L46" s="225"/>
      <c r="M46" s="225">
        <f t="shared" si="7"/>
        <v>0</v>
      </c>
      <c r="N46" s="225">
        <f t="shared" si="11"/>
        <v>0</v>
      </c>
      <c r="O46" s="228">
        <f>'Giường BHYT'!E43</f>
        <v>0</v>
      </c>
      <c r="P46" s="225">
        <f t="shared" si="8"/>
        <v>0</v>
      </c>
      <c r="Q46" s="225">
        <f t="shared" si="9"/>
        <v>0</v>
      </c>
      <c r="R46" s="225">
        <f t="shared" si="12"/>
        <v>0</v>
      </c>
      <c r="S46" s="225">
        <f t="shared" si="13"/>
        <v>0</v>
      </c>
      <c r="T46" s="257">
        <f>Giường!T46</f>
        <v>0</v>
      </c>
      <c r="U46" s="225"/>
      <c r="V46" s="225"/>
      <c r="W46" s="249"/>
    </row>
    <row r="47" spans="1:23" ht="31.5" x14ac:dyDescent="0.25">
      <c r="A47" s="251">
        <v>1</v>
      </c>
      <c r="B47" s="226"/>
      <c r="C47" s="226"/>
      <c r="D47" s="226"/>
      <c r="E47" s="226"/>
      <c r="F47" s="227" t="s">
        <v>94</v>
      </c>
      <c r="G47" s="225"/>
      <c r="H47" s="225">
        <f t="shared" si="10"/>
        <v>0</v>
      </c>
      <c r="I47" s="232"/>
      <c r="J47" s="257"/>
      <c r="K47" s="232"/>
      <c r="L47" s="225">
        <f>'Giường TT22 BYT'!E21</f>
        <v>0</v>
      </c>
      <c r="M47" s="225">
        <f t="shared" si="7"/>
        <v>0</v>
      </c>
      <c r="N47" s="225">
        <f t="shared" si="11"/>
        <v>0</v>
      </c>
      <c r="O47" s="228">
        <f>'Giường BHYT'!E44</f>
        <v>0</v>
      </c>
      <c r="P47" s="225">
        <f t="shared" si="8"/>
        <v>0</v>
      </c>
      <c r="Q47" s="225">
        <f t="shared" si="9"/>
        <v>0</v>
      </c>
      <c r="R47" s="225">
        <f t="shared" si="12"/>
        <v>0</v>
      </c>
      <c r="S47" s="225">
        <f t="shared" si="13"/>
        <v>0</v>
      </c>
      <c r="T47" s="257">
        <f>Giường!T47</f>
        <v>0</v>
      </c>
      <c r="U47" s="225"/>
      <c r="V47" s="225"/>
      <c r="W47" s="249"/>
    </row>
    <row r="48" spans="1:23" x14ac:dyDescent="0.25">
      <c r="A48" s="251">
        <v>2</v>
      </c>
      <c r="B48" s="226"/>
      <c r="C48" s="226"/>
      <c r="D48" s="226"/>
      <c r="E48" s="226"/>
      <c r="F48" s="227" t="s">
        <v>71</v>
      </c>
      <c r="G48" s="225">
        <v>249400</v>
      </c>
      <c r="H48" s="225">
        <f t="shared" si="10"/>
        <v>249386</v>
      </c>
      <c r="I48" s="232">
        <f>127169-15986</f>
        <v>111183</v>
      </c>
      <c r="J48" s="257">
        <f>122217+15986</f>
        <v>138203</v>
      </c>
      <c r="K48" s="232"/>
      <c r="L48" s="225">
        <f>'Giường TT22 BYT'!F10</f>
        <v>312200</v>
      </c>
      <c r="M48" s="225">
        <f t="shared" si="7"/>
        <v>312200</v>
      </c>
      <c r="N48" s="225">
        <f t="shared" si="11"/>
        <v>312228.5652173913</v>
      </c>
      <c r="O48" s="228">
        <f>'Giường BHYT'!E45</f>
        <v>174025.5652173913</v>
      </c>
      <c r="P48" s="225">
        <f t="shared" si="8"/>
        <v>138203</v>
      </c>
      <c r="Q48" s="225">
        <f t="shared" si="9"/>
        <v>364400</v>
      </c>
      <c r="R48" s="225">
        <f t="shared" si="12"/>
        <v>364436.23478260869</v>
      </c>
      <c r="S48" s="225">
        <f t="shared" si="13"/>
        <v>226233.23478260869</v>
      </c>
      <c r="T48" s="257">
        <f>Giường!T48</f>
        <v>138203</v>
      </c>
      <c r="U48" s="225"/>
      <c r="V48" s="225"/>
      <c r="W48" s="249"/>
    </row>
    <row r="49" spans="1:23" x14ac:dyDescent="0.25">
      <c r="A49" s="251">
        <v>3</v>
      </c>
      <c r="B49" s="226"/>
      <c r="C49" s="226"/>
      <c r="D49" s="226"/>
      <c r="E49" s="226"/>
      <c r="F49" s="227" t="s">
        <v>72</v>
      </c>
      <c r="G49" s="225"/>
      <c r="H49" s="225">
        <f t="shared" si="10"/>
        <v>0</v>
      </c>
      <c r="I49" s="232"/>
      <c r="J49" s="257"/>
      <c r="K49" s="232"/>
      <c r="L49" s="225">
        <f>'Giường TT22 BYT'!E23</f>
        <v>0</v>
      </c>
      <c r="M49" s="225">
        <f t="shared" si="7"/>
        <v>0</v>
      </c>
      <c r="N49" s="225">
        <f t="shared" si="11"/>
        <v>0</v>
      </c>
      <c r="O49" s="228">
        <f>'Giường BHYT'!E46</f>
        <v>0</v>
      </c>
      <c r="P49" s="225">
        <f t="shared" si="8"/>
        <v>0</v>
      </c>
      <c r="Q49" s="225">
        <f t="shared" si="9"/>
        <v>0</v>
      </c>
      <c r="R49" s="225">
        <f t="shared" si="12"/>
        <v>0</v>
      </c>
      <c r="S49" s="225">
        <f t="shared" si="13"/>
        <v>0</v>
      </c>
      <c r="T49" s="257">
        <f>Giường!T49</f>
        <v>0</v>
      </c>
      <c r="U49" s="225"/>
      <c r="V49" s="225"/>
      <c r="W49" s="249"/>
    </row>
    <row r="50" spans="1:23" ht="47.25" x14ac:dyDescent="0.25">
      <c r="A50" s="251" t="s">
        <v>73</v>
      </c>
      <c r="B50" s="226"/>
      <c r="C50" s="226"/>
      <c r="D50" s="226"/>
      <c r="E50" s="226"/>
      <c r="F50" s="227" t="s">
        <v>95</v>
      </c>
      <c r="G50" s="225">
        <v>141500</v>
      </c>
      <c r="H50" s="225">
        <f t="shared" si="10"/>
        <v>141482</v>
      </c>
      <c r="I50" s="244">
        <f>111373-11307</f>
        <v>100066</v>
      </c>
      <c r="J50" s="257">
        <f>30108+11308</f>
        <v>41416</v>
      </c>
      <c r="K50" s="232"/>
      <c r="L50" s="225">
        <f>'Giường TT22 BYT'!F12</f>
        <v>198000</v>
      </c>
      <c r="M50" s="225">
        <f t="shared" si="7"/>
        <v>198000</v>
      </c>
      <c r="N50" s="225">
        <f t="shared" si="11"/>
        <v>198040</v>
      </c>
      <c r="O50" s="228">
        <f>'Giường BHYT'!E47</f>
        <v>156624</v>
      </c>
      <c r="P50" s="225">
        <f t="shared" si="8"/>
        <v>41416</v>
      </c>
      <c r="Q50" s="225">
        <f t="shared" si="9"/>
        <v>245000</v>
      </c>
      <c r="R50" s="225">
        <f t="shared" si="12"/>
        <v>245028.55652173914</v>
      </c>
      <c r="S50" s="225">
        <f t="shared" si="13"/>
        <v>203612.55652173914</v>
      </c>
      <c r="T50" s="257">
        <f>Giường!T50</f>
        <v>41416</v>
      </c>
      <c r="U50" s="225"/>
      <c r="V50" s="225"/>
      <c r="W50" s="249"/>
    </row>
    <row r="51" spans="1:23" ht="63" x14ac:dyDescent="0.25">
      <c r="A51" s="251" t="s">
        <v>76</v>
      </c>
      <c r="B51" s="226"/>
      <c r="C51" s="226"/>
      <c r="D51" s="226"/>
      <c r="E51" s="226"/>
      <c r="F51" s="227" t="s">
        <v>96</v>
      </c>
      <c r="G51" s="225">
        <v>124300</v>
      </c>
      <c r="H51" s="225">
        <f t="shared" si="10"/>
        <v>124352</v>
      </c>
      <c r="I51" s="244">
        <f>95050-11308</f>
        <v>83742</v>
      </c>
      <c r="J51" s="257">
        <f>29302+11308</f>
        <v>40610</v>
      </c>
      <c r="K51" s="232"/>
      <c r="L51" s="225">
        <f>'Giường TT22 BYT'!F14</f>
        <v>171600</v>
      </c>
      <c r="M51" s="225">
        <f t="shared" si="7"/>
        <v>171600</v>
      </c>
      <c r="N51" s="225">
        <f t="shared" si="11"/>
        <v>171684.4347826087</v>
      </c>
      <c r="O51" s="228">
        <f>'Giường BHYT'!E48</f>
        <v>131074.4347826087</v>
      </c>
      <c r="P51" s="225">
        <f t="shared" si="8"/>
        <v>40610</v>
      </c>
      <c r="Q51" s="225">
        <f t="shared" si="9"/>
        <v>211000</v>
      </c>
      <c r="R51" s="225">
        <f t="shared" si="12"/>
        <v>211006.76521739131</v>
      </c>
      <c r="S51" s="225">
        <f t="shared" si="13"/>
        <v>170396.76521739131</v>
      </c>
      <c r="T51" s="257">
        <f>Giường!T51</f>
        <v>40610</v>
      </c>
      <c r="U51" s="225"/>
      <c r="V51" s="225"/>
      <c r="W51" s="249"/>
    </row>
    <row r="52" spans="1:23" x14ac:dyDescent="0.25">
      <c r="A52" s="251" t="s">
        <v>78</v>
      </c>
      <c r="B52" s="226"/>
      <c r="C52" s="226"/>
      <c r="D52" s="226"/>
      <c r="E52" s="226"/>
      <c r="F52" s="227" t="s">
        <v>93</v>
      </c>
      <c r="G52" s="225">
        <v>101900</v>
      </c>
      <c r="H52" s="225">
        <f t="shared" si="10"/>
        <v>101943</v>
      </c>
      <c r="I52" s="232">
        <f>76322-11308</f>
        <v>65014</v>
      </c>
      <c r="J52" s="257">
        <f>25621+11308</f>
        <v>36929</v>
      </c>
      <c r="K52" s="232"/>
      <c r="L52" s="225">
        <f>'Giường TT22 BYT'!F16</f>
        <v>138600</v>
      </c>
      <c r="M52" s="225">
        <f t="shared" si="7"/>
        <v>138600</v>
      </c>
      <c r="N52" s="225">
        <f t="shared" si="11"/>
        <v>138690.04347826086</v>
      </c>
      <c r="O52" s="228">
        <f>'Giường BHYT'!E49</f>
        <v>101761.04347826086</v>
      </c>
      <c r="P52" s="225">
        <f t="shared" si="8"/>
        <v>36929</v>
      </c>
      <c r="Q52" s="225">
        <f t="shared" si="9"/>
        <v>169200</v>
      </c>
      <c r="R52" s="225">
        <f t="shared" si="12"/>
        <v>169218.35652173913</v>
      </c>
      <c r="S52" s="225">
        <f t="shared" si="13"/>
        <v>132289.35652173913</v>
      </c>
      <c r="T52" s="257">
        <f>Giường!T52</f>
        <v>36929</v>
      </c>
      <c r="U52" s="225"/>
      <c r="V52" s="225"/>
      <c r="W52" s="249"/>
    </row>
    <row r="53" spans="1:23" x14ac:dyDescent="0.25">
      <c r="A53" s="251">
        <v>4</v>
      </c>
      <c r="B53" s="226"/>
      <c r="C53" s="226"/>
      <c r="D53" s="226"/>
      <c r="E53" s="226"/>
      <c r="F53" s="227" t="s">
        <v>97</v>
      </c>
      <c r="G53" s="225"/>
      <c r="H53" s="225">
        <f t="shared" si="10"/>
        <v>0</v>
      </c>
      <c r="I53" s="232"/>
      <c r="J53" s="257"/>
      <c r="K53" s="232"/>
      <c r="L53" s="225">
        <f>'Giường TT22 BYT'!F15</f>
        <v>0</v>
      </c>
      <c r="M53" s="225">
        <f t="shared" si="7"/>
        <v>0</v>
      </c>
      <c r="N53" s="225">
        <f t="shared" si="11"/>
        <v>0</v>
      </c>
      <c r="O53" s="228">
        <f>'Giường BHYT'!E50</f>
        <v>0</v>
      </c>
      <c r="P53" s="225">
        <f t="shared" si="8"/>
        <v>0</v>
      </c>
      <c r="Q53" s="225">
        <f t="shared" si="9"/>
        <v>0</v>
      </c>
      <c r="R53" s="225">
        <f t="shared" si="12"/>
        <v>0</v>
      </c>
      <c r="S53" s="225">
        <f t="shared" si="13"/>
        <v>0</v>
      </c>
      <c r="T53" s="257">
        <f>Giường!T53</f>
        <v>0</v>
      </c>
      <c r="U53" s="225"/>
      <c r="V53" s="225"/>
      <c r="W53" s="249"/>
    </row>
    <row r="54" spans="1:23" ht="31.5" x14ac:dyDescent="0.25">
      <c r="A54" s="251" t="s">
        <v>81</v>
      </c>
      <c r="B54" s="226"/>
      <c r="C54" s="226"/>
      <c r="D54" s="226"/>
      <c r="E54" s="226"/>
      <c r="F54" s="227" t="s">
        <v>98</v>
      </c>
      <c r="G54" s="225"/>
      <c r="H54" s="225">
        <f t="shared" si="10"/>
        <v>0</v>
      </c>
      <c r="I54" s="232"/>
      <c r="J54" s="257"/>
      <c r="K54" s="232"/>
      <c r="L54" s="225"/>
      <c r="M54" s="225">
        <f t="shared" si="7"/>
        <v>0</v>
      </c>
      <c r="N54" s="225">
        <f t="shared" si="11"/>
        <v>0</v>
      </c>
      <c r="O54" s="228">
        <f>'Giường BHYT'!E51</f>
        <v>0</v>
      </c>
      <c r="P54" s="225">
        <f t="shared" si="8"/>
        <v>0</v>
      </c>
      <c r="Q54" s="225">
        <f t="shared" si="9"/>
        <v>0</v>
      </c>
      <c r="R54" s="225">
        <f t="shared" si="12"/>
        <v>0</v>
      </c>
      <c r="S54" s="225">
        <f t="shared" si="13"/>
        <v>0</v>
      </c>
      <c r="T54" s="257">
        <f>Giường!T54</f>
        <v>0</v>
      </c>
      <c r="U54" s="225"/>
      <c r="V54" s="225"/>
      <c r="W54" s="249"/>
    </row>
    <row r="55" spans="1:23" ht="31.5" x14ac:dyDescent="0.25">
      <c r="A55" s="251" t="s">
        <v>83</v>
      </c>
      <c r="B55" s="226"/>
      <c r="C55" s="226"/>
      <c r="D55" s="226"/>
      <c r="E55" s="226"/>
      <c r="F55" s="227" t="s">
        <v>99</v>
      </c>
      <c r="G55" s="225">
        <v>168700</v>
      </c>
      <c r="H55" s="225">
        <f t="shared" si="10"/>
        <v>168690</v>
      </c>
      <c r="I55" s="232">
        <f>111373-11308</f>
        <v>100065</v>
      </c>
      <c r="J55" s="257">
        <f>57317+11308</f>
        <v>68625</v>
      </c>
      <c r="K55" s="232"/>
      <c r="L55" s="225">
        <f>'Giường TT22 BYT'!F20</f>
        <v>225200</v>
      </c>
      <c r="M55" s="225">
        <f t="shared" si="7"/>
        <v>225200</v>
      </c>
      <c r="N55" s="225">
        <f t="shared" si="11"/>
        <v>225248.47826086957</v>
      </c>
      <c r="O55" s="228">
        <f>'Giường BHYT'!E52</f>
        <v>156623.47826086957</v>
      </c>
      <c r="P55" s="225">
        <f t="shared" si="8"/>
        <v>68625</v>
      </c>
      <c r="Q55" s="225">
        <f t="shared" si="9"/>
        <v>272200</v>
      </c>
      <c r="R55" s="225">
        <f t="shared" si="12"/>
        <v>272235.52173913043</v>
      </c>
      <c r="S55" s="225">
        <f t="shared" si="13"/>
        <v>203610.52173913043</v>
      </c>
      <c r="T55" s="257">
        <f>Giường!T55</f>
        <v>68625</v>
      </c>
      <c r="U55" s="225"/>
      <c r="V55" s="225"/>
      <c r="W55" s="249"/>
    </row>
    <row r="56" spans="1:23" ht="31.5" x14ac:dyDescent="0.25">
      <c r="A56" s="251" t="s">
        <v>85</v>
      </c>
      <c r="B56" s="226"/>
      <c r="C56" s="226"/>
      <c r="D56" s="226"/>
      <c r="E56" s="226"/>
      <c r="F56" s="227" t="s">
        <v>100</v>
      </c>
      <c r="G56" s="225">
        <v>149300</v>
      </c>
      <c r="H56" s="225">
        <f t="shared" si="10"/>
        <v>149334</v>
      </c>
      <c r="I56" s="232">
        <f>100255-11308</f>
        <v>88947</v>
      </c>
      <c r="J56" s="257">
        <f>49079+11308</f>
        <v>60387</v>
      </c>
      <c r="K56" s="232"/>
      <c r="L56" s="225">
        <f>'Giường TT22 BYT'!F22</f>
        <v>199600</v>
      </c>
      <c r="M56" s="225">
        <f t="shared" si="7"/>
        <v>199600</v>
      </c>
      <c r="N56" s="225">
        <f t="shared" si="11"/>
        <v>199608.39130434781</v>
      </c>
      <c r="O56" s="228">
        <f>'Giường BHYT'!E53</f>
        <v>139221.39130434781</v>
      </c>
      <c r="P56" s="225">
        <f t="shared" si="8"/>
        <v>60387</v>
      </c>
      <c r="Q56" s="225">
        <f t="shared" si="9"/>
        <v>241300</v>
      </c>
      <c r="R56" s="225">
        <f t="shared" si="12"/>
        <v>241374.80869565217</v>
      </c>
      <c r="S56" s="225">
        <f t="shared" si="13"/>
        <v>180987.80869565217</v>
      </c>
      <c r="T56" s="257">
        <f>Giường!T56</f>
        <v>60387</v>
      </c>
      <c r="U56" s="225"/>
      <c r="V56" s="225"/>
      <c r="W56" s="249"/>
    </row>
    <row r="57" spans="1:23" ht="31.5" x14ac:dyDescent="0.25">
      <c r="A57" s="251" t="s">
        <v>87</v>
      </c>
      <c r="B57" s="226"/>
      <c r="C57" s="226"/>
      <c r="D57" s="226"/>
      <c r="E57" s="226"/>
      <c r="F57" s="227" t="s">
        <v>101</v>
      </c>
      <c r="G57" s="225">
        <v>127100</v>
      </c>
      <c r="H57" s="225">
        <f t="shared" si="10"/>
        <v>127113</v>
      </c>
      <c r="I57" s="232">
        <f>83990-11308</f>
        <v>72682</v>
      </c>
      <c r="J57" s="257">
        <f>43123+11308</f>
        <v>54431</v>
      </c>
      <c r="K57" s="232"/>
      <c r="L57" s="225">
        <f>'Giường TT22 BYT'!F24</f>
        <v>168100</v>
      </c>
      <c r="M57" s="225">
        <f t="shared" si="7"/>
        <v>168100</v>
      </c>
      <c r="N57" s="225">
        <f t="shared" si="11"/>
        <v>168194.13043478259</v>
      </c>
      <c r="O57" s="228">
        <f>'Giường BHYT'!E54</f>
        <v>113763.13043478261</v>
      </c>
      <c r="P57" s="225">
        <f t="shared" si="8"/>
        <v>54431</v>
      </c>
      <c r="Q57" s="225">
        <f t="shared" si="9"/>
        <v>202300</v>
      </c>
      <c r="R57" s="225">
        <f t="shared" si="12"/>
        <v>202323.06956521739</v>
      </c>
      <c r="S57" s="225">
        <f t="shared" si="13"/>
        <v>147892.06956521739</v>
      </c>
      <c r="T57" s="257">
        <f>Giường!T57</f>
        <v>54431</v>
      </c>
      <c r="U57" s="225"/>
      <c r="V57" s="225"/>
      <c r="W57" s="249"/>
    </row>
    <row r="58" spans="1:23" s="221" customFormat="1" ht="24.6" customHeight="1" x14ac:dyDescent="0.25">
      <c r="A58" s="277" t="s">
        <v>120</v>
      </c>
      <c r="B58" s="233"/>
      <c r="C58" s="233"/>
      <c r="D58" s="233"/>
      <c r="E58" s="233"/>
      <c r="F58" s="234" t="s">
        <v>104</v>
      </c>
      <c r="G58" s="225"/>
      <c r="H58" s="225">
        <f t="shared" si="10"/>
        <v>0</v>
      </c>
      <c r="I58" s="232"/>
      <c r="J58" s="257"/>
      <c r="K58" s="232"/>
      <c r="L58" s="225">
        <f>'Giường TT22 BYT'!F23</f>
        <v>0</v>
      </c>
      <c r="M58" s="225">
        <f t="shared" si="7"/>
        <v>0</v>
      </c>
      <c r="N58" s="225">
        <f t="shared" si="11"/>
        <v>0</v>
      </c>
      <c r="O58" s="228">
        <f>'Giường BHYT'!E55</f>
        <v>0</v>
      </c>
      <c r="P58" s="225">
        <f t="shared" si="8"/>
        <v>0</v>
      </c>
      <c r="Q58" s="225">
        <f t="shared" si="9"/>
        <v>0</v>
      </c>
      <c r="R58" s="225">
        <f t="shared" si="12"/>
        <v>0</v>
      </c>
      <c r="S58" s="225">
        <f t="shared" si="13"/>
        <v>0</v>
      </c>
      <c r="T58" s="257">
        <f>Giường!T58</f>
        <v>0</v>
      </c>
      <c r="U58" s="225"/>
      <c r="V58" s="225"/>
      <c r="W58" s="249"/>
    </row>
    <row r="59" spans="1:23" ht="31.5" x14ac:dyDescent="0.25">
      <c r="A59" s="251">
        <v>1</v>
      </c>
      <c r="B59" s="226"/>
      <c r="C59" s="226"/>
      <c r="D59" s="226"/>
      <c r="E59" s="226"/>
      <c r="F59" s="227" t="s">
        <v>94</v>
      </c>
      <c r="G59" s="225"/>
      <c r="H59" s="225">
        <f t="shared" si="10"/>
        <v>0</v>
      </c>
      <c r="I59" s="232"/>
      <c r="J59" s="257"/>
      <c r="K59" s="232"/>
      <c r="L59" s="225"/>
      <c r="M59" s="225">
        <f t="shared" si="7"/>
        <v>0</v>
      </c>
      <c r="N59" s="225">
        <f t="shared" si="11"/>
        <v>0</v>
      </c>
      <c r="O59" s="228">
        <f>'Giường BHYT'!E56</f>
        <v>0</v>
      </c>
      <c r="P59" s="225">
        <f t="shared" si="8"/>
        <v>0</v>
      </c>
      <c r="Q59" s="225">
        <f t="shared" si="9"/>
        <v>0</v>
      </c>
      <c r="R59" s="225">
        <f t="shared" si="12"/>
        <v>0</v>
      </c>
      <c r="S59" s="225">
        <f t="shared" si="13"/>
        <v>0</v>
      </c>
      <c r="T59" s="257">
        <f>Giường!T59</f>
        <v>0</v>
      </c>
      <c r="U59" s="225"/>
      <c r="V59" s="225"/>
      <c r="W59" s="249"/>
    </row>
    <row r="60" spans="1:23" x14ac:dyDescent="0.25">
      <c r="A60" s="251">
        <v>2</v>
      </c>
      <c r="B60" s="226"/>
      <c r="C60" s="226"/>
      <c r="D60" s="226"/>
      <c r="E60" s="226"/>
      <c r="F60" s="227" t="s">
        <v>71</v>
      </c>
      <c r="G60" s="225">
        <v>221200</v>
      </c>
      <c r="H60" s="225">
        <f t="shared" si="10"/>
        <v>221161</v>
      </c>
      <c r="I60" s="232">
        <f>117919-14757</f>
        <v>103162</v>
      </c>
      <c r="J60" s="257">
        <f>103242+14757</f>
        <v>117999</v>
      </c>
      <c r="K60" s="232"/>
      <c r="L60" s="225">
        <f>'Giường TT22 BYT'!G10</f>
        <v>279400</v>
      </c>
      <c r="M60" s="225">
        <f t="shared" si="7"/>
        <v>279400</v>
      </c>
      <c r="N60" s="225">
        <f t="shared" si="11"/>
        <v>279469.95652173914</v>
      </c>
      <c r="O60" s="228">
        <f>'Giường BHYT'!E57</f>
        <v>161470.95652173914</v>
      </c>
      <c r="P60" s="225">
        <f t="shared" si="8"/>
        <v>117999</v>
      </c>
      <c r="Q60" s="225">
        <f t="shared" si="9"/>
        <v>327900</v>
      </c>
      <c r="R60" s="225">
        <f t="shared" si="12"/>
        <v>327911.24347826088</v>
      </c>
      <c r="S60" s="225">
        <f t="shared" si="13"/>
        <v>209912.24347826088</v>
      </c>
      <c r="T60" s="257">
        <f>Giường!T60</f>
        <v>117999</v>
      </c>
      <c r="U60" s="225"/>
      <c r="V60" s="225"/>
      <c r="W60" s="249"/>
    </row>
    <row r="61" spans="1:23" x14ac:dyDescent="0.25">
      <c r="A61" s="251">
        <v>3</v>
      </c>
      <c r="B61" s="226"/>
      <c r="C61" s="226"/>
      <c r="D61" s="226"/>
      <c r="E61" s="226"/>
      <c r="F61" s="227" t="s">
        <v>72</v>
      </c>
      <c r="G61" s="225"/>
      <c r="H61" s="225">
        <f t="shared" si="10"/>
        <v>0</v>
      </c>
      <c r="I61" s="232"/>
      <c r="J61" s="257"/>
      <c r="K61" s="232"/>
      <c r="L61" s="225">
        <f>'Giường TT22 BYT'!G11</f>
        <v>0</v>
      </c>
      <c r="M61" s="225">
        <f t="shared" si="7"/>
        <v>0</v>
      </c>
      <c r="N61" s="225">
        <f t="shared" si="11"/>
        <v>0</v>
      </c>
      <c r="O61" s="228">
        <f>'Giường BHYT'!E58</f>
        <v>0</v>
      </c>
      <c r="P61" s="225">
        <f t="shared" si="8"/>
        <v>0</v>
      </c>
      <c r="Q61" s="225">
        <f t="shared" si="9"/>
        <v>0</v>
      </c>
      <c r="R61" s="225">
        <f t="shared" si="12"/>
        <v>0</v>
      </c>
      <c r="S61" s="225">
        <f t="shared" si="13"/>
        <v>0</v>
      </c>
      <c r="T61" s="257">
        <f>Giường!T61</f>
        <v>0</v>
      </c>
      <c r="U61" s="225"/>
      <c r="V61" s="225"/>
      <c r="W61" s="249"/>
    </row>
    <row r="62" spans="1:23" ht="47.25" x14ac:dyDescent="0.25">
      <c r="A62" s="251" t="s">
        <v>73</v>
      </c>
      <c r="B62" s="226"/>
      <c r="C62" s="226"/>
      <c r="D62" s="226"/>
      <c r="E62" s="226"/>
      <c r="F62" s="227" t="s">
        <v>95</v>
      </c>
      <c r="G62" s="225">
        <v>126100</v>
      </c>
      <c r="H62" s="225">
        <f t="shared" si="10"/>
        <v>126167</v>
      </c>
      <c r="I62" s="244">
        <f>100303-10438</f>
        <v>89865</v>
      </c>
      <c r="J62" s="257">
        <f>25864+10438</f>
        <v>36302</v>
      </c>
      <c r="K62" s="232"/>
      <c r="L62" s="225">
        <f>'Giường TT22 BYT'!G12</f>
        <v>176900</v>
      </c>
      <c r="M62" s="225">
        <f t="shared" si="7"/>
        <v>176900</v>
      </c>
      <c r="N62" s="225">
        <f t="shared" si="11"/>
        <v>176960.26086956522</v>
      </c>
      <c r="O62" s="228">
        <f>'Giường BHYT'!E59</f>
        <v>140658.26086956522</v>
      </c>
      <c r="P62" s="225">
        <f t="shared" si="8"/>
        <v>36302</v>
      </c>
      <c r="Q62" s="225">
        <f t="shared" si="9"/>
        <v>219100</v>
      </c>
      <c r="R62" s="225">
        <f t="shared" si="12"/>
        <v>219157.73913043478</v>
      </c>
      <c r="S62" s="225">
        <f t="shared" si="13"/>
        <v>182855.73913043478</v>
      </c>
      <c r="T62" s="257">
        <f>Giường!T62</f>
        <v>36302</v>
      </c>
      <c r="U62" s="225"/>
      <c r="V62" s="225"/>
      <c r="W62" s="249"/>
    </row>
    <row r="63" spans="1:23" ht="63" x14ac:dyDescent="0.25">
      <c r="A63" s="251" t="s">
        <v>76</v>
      </c>
      <c r="B63" s="226"/>
      <c r="C63" s="226"/>
      <c r="D63" s="226"/>
      <c r="E63" s="226"/>
      <c r="F63" s="227" t="s">
        <v>96</v>
      </c>
      <c r="G63" s="225">
        <v>110600</v>
      </c>
      <c r="H63" s="225">
        <f t="shared" si="10"/>
        <v>110571</v>
      </c>
      <c r="I63" s="244">
        <f>85325-10438</f>
        <v>74887</v>
      </c>
      <c r="J63" s="257">
        <f>25246+10438</f>
        <v>35684</v>
      </c>
      <c r="K63" s="232"/>
      <c r="L63" s="225">
        <f>'Giường TT22 BYT'!G14</f>
        <v>152800</v>
      </c>
      <c r="M63" s="225">
        <f t="shared" si="7"/>
        <v>152800</v>
      </c>
      <c r="N63" s="225">
        <f t="shared" si="11"/>
        <v>152899</v>
      </c>
      <c r="O63" s="228">
        <f>'Giường BHYT'!E60</f>
        <v>117215</v>
      </c>
      <c r="P63" s="225">
        <f t="shared" si="8"/>
        <v>35684</v>
      </c>
      <c r="Q63" s="225">
        <f t="shared" si="9"/>
        <v>188000</v>
      </c>
      <c r="R63" s="225">
        <f t="shared" si="12"/>
        <v>188062.76521739131</v>
      </c>
      <c r="S63" s="225">
        <f t="shared" si="13"/>
        <v>152378.76521739131</v>
      </c>
      <c r="T63" s="257">
        <f>Giường!T63</f>
        <v>35684</v>
      </c>
      <c r="U63" s="225"/>
      <c r="V63" s="225"/>
      <c r="W63" s="249"/>
    </row>
    <row r="64" spans="1:23" x14ac:dyDescent="0.25">
      <c r="A64" s="251" t="s">
        <v>78</v>
      </c>
      <c r="B64" s="226"/>
      <c r="C64" s="226"/>
      <c r="D64" s="226"/>
      <c r="E64" s="226"/>
      <c r="F64" s="227" t="s">
        <v>93</v>
      </c>
      <c r="G64" s="225">
        <v>94000</v>
      </c>
      <c r="H64" s="225">
        <f t="shared" si="10"/>
        <v>94357</v>
      </c>
      <c r="I64" s="232">
        <f>70348-10438</f>
        <v>59910</v>
      </c>
      <c r="J64" s="257">
        <f>24009+10438</f>
        <v>34447</v>
      </c>
      <c r="K64" s="232"/>
      <c r="L64" s="225">
        <f>'Giường TT22 BYT'!G16</f>
        <v>128200</v>
      </c>
      <c r="M64" s="225">
        <f t="shared" si="7"/>
        <v>128200</v>
      </c>
      <c r="N64" s="225">
        <f t="shared" si="11"/>
        <v>128219.17391304349</v>
      </c>
      <c r="O64" s="228">
        <f>'Giường BHYT'!E61</f>
        <v>93772.173913043487</v>
      </c>
      <c r="P64" s="225">
        <f t="shared" si="8"/>
        <v>34447</v>
      </c>
      <c r="Q64" s="225">
        <f t="shared" si="9"/>
        <v>156300</v>
      </c>
      <c r="R64" s="225">
        <f t="shared" si="12"/>
        <v>156350.82608695654</v>
      </c>
      <c r="S64" s="225">
        <f t="shared" si="13"/>
        <v>121903.82608695653</v>
      </c>
      <c r="T64" s="257">
        <f>Giường!T64</f>
        <v>34447</v>
      </c>
      <c r="U64" s="225"/>
      <c r="V64" s="225"/>
      <c r="W64" s="249"/>
    </row>
    <row r="65" spans="1:23" x14ac:dyDescent="0.25">
      <c r="A65" s="251">
        <v>4</v>
      </c>
      <c r="B65" s="226"/>
      <c r="C65" s="226"/>
      <c r="D65" s="226"/>
      <c r="E65" s="226"/>
      <c r="F65" s="227" t="s">
        <v>97</v>
      </c>
      <c r="G65" s="225"/>
      <c r="H65" s="225">
        <f t="shared" si="10"/>
        <v>0</v>
      </c>
      <c r="I65" s="232"/>
      <c r="J65" s="257"/>
      <c r="K65" s="232"/>
      <c r="L65" s="225">
        <f>'Giường TT22 BYT'!G15</f>
        <v>0</v>
      </c>
      <c r="M65" s="225">
        <f t="shared" si="7"/>
        <v>0</v>
      </c>
      <c r="N65" s="225">
        <f t="shared" si="11"/>
        <v>0</v>
      </c>
      <c r="O65" s="228">
        <f>'Giường BHYT'!E62</f>
        <v>0</v>
      </c>
      <c r="P65" s="225">
        <f t="shared" si="8"/>
        <v>0</v>
      </c>
      <c r="Q65" s="225">
        <f t="shared" si="9"/>
        <v>0</v>
      </c>
      <c r="R65" s="225">
        <f t="shared" si="12"/>
        <v>0</v>
      </c>
      <c r="S65" s="225">
        <f t="shared" si="13"/>
        <v>0</v>
      </c>
      <c r="T65" s="257">
        <f>Giường!T65</f>
        <v>0</v>
      </c>
      <c r="U65" s="225"/>
      <c r="V65" s="225"/>
      <c r="W65" s="249"/>
    </row>
    <row r="66" spans="1:23" ht="31.5" x14ac:dyDescent="0.25">
      <c r="A66" s="251" t="s">
        <v>81</v>
      </c>
      <c r="B66" s="226"/>
      <c r="C66" s="226"/>
      <c r="D66" s="226"/>
      <c r="E66" s="226"/>
      <c r="F66" s="227" t="s">
        <v>98</v>
      </c>
      <c r="G66" s="225"/>
      <c r="H66" s="225">
        <f t="shared" si="10"/>
        <v>0</v>
      </c>
      <c r="I66" s="232"/>
      <c r="J66" s="257"/>
      <c r="K66" s="232"/>
      <c r="L66" s="225"/>
      <c r="M66" s="225">
        <f t="shared" si="7"/>
        <v>0</v>
      </c>
      <c r="N66" s="225">
        <f t="shared" si="11"/>
        <v>0</v>
      </c>
      <c r="O66" s="228">
        <f>'Giường BHYT'!E63</f>
        <v>0</v>
      </c>
      <c r="P66" s="225">
        <f t="shared" si="8"/>
        <v>0</v>
      </c>
      <c r="Q66" s="225">
        <f t="shared" si="9"/>
        <v>0</v>
      </c>
      <c r="R66" s="225">
        <f t="shared" si="12"/>
        <v>0</v>
      </c>
      <c r="S66" s="225">
        <f t="shared" si="13"/>
        <v>0</v>
      </c>
      <c r="T66" s="257">
        <f>Giường!T66</f>
        <v>0</v>
      </c>
      <c r="U66" s="225"/>
      <c r="V66" s="225"/>
      <c r="W66" s="249"/>
    </row>
    <row r="67" spans="1:23" ht="31.5" x14ac:dyDescent="0.25">
      <c r="A67" s="251" t="s">
        <v>83</v>
      </c>
      <c r="B67" s="226"/>
      <c r="C67" s="226"/>
      <c r="D67" s="226"/>
      <c r="E67" s="226"/>
      <c r="F67" s="227" t="s">
        <v>99</v>
      </c>
      <c r="G67" s="225">
        <v>150200</v>
      </c>
      <c r="H67" s="225">
        <f t="shared" si="10"/>
        <v>150196</v>
      </c>
      <c r="I67" s="232">
        <f>105715-10438</f>
        <v>95277</v>
      </c>
      <c r="J67" s="257">
        <f>44481+10438</f>
        <v>54919</v>
      </c>
      <c r="K67" s="232"/>
      <c r="L67" s="225">
        <f>'Giường TT22 BYT'!G20</f>
        <v>204000</v>
      </c>
      <c r="M67" s="225">
        <f t="shared" si="7"/>
        <v>204000</v>
      </c>
      <c r="N67" s="225">
        <f t="shared" si="11"/>
        <v>204048.21739130435</v>
      </c>
      <c r="O67" s="228">
        <f>'Giường BHYT'!E64</f>
        <v>149129.21739130435</v>
      </c>
      <c r="P67" s="225">
        <f t="shared" si="8"/>
        <v>54919</v>
      </c>
      <c r="Q67" s="225">
        <f t="shared" si="9"/>
        <v>248700</v>
      </c>
      <c r="R67" s="225">
        <f t="shared" si="12"/>
        <v>248786.98260869566</v>
      </c>
      <c r="S67" s="225">
        <f t="shared" si="13"/>
        <v>193867.98260869566</v>
      </c>
      <c r="T67" s="257">
        <f>Giường!T67</f>
        <v>54919</v>
      </c>
      <c r="U67" s="225"/>
      <c r="V67" s="225"/>
      <c r="W67" s="249"/>
    </row>
    <row r="68" spans="1:23" ht="31.5" x14ac:dyDescent="0.25">
      <c r="A68" s="251" t="s">
        <v>85</v>
      </c>
      <c r="B68" s="226"/>
      <c r="C68" s="226"/>
      <c r="D68" s="226"/>
      <c r="E68" s="226"/>
      <c r="F68" s="227" t="s">
        <v>100</v>
      </c>
      <c r="G68" s="225">
        <v>131200</v>
      </c>
      <c r="H68" s="225">
        <f t="shared" si="10"/>
        <v>131208</v>
      </c>
      <c r="I68" s="232">
        <f>91930-10438</f>
        <v>81492</v>
      </c>
      <c r="J68" s="257">
        <f>39278+10438</f>
        <v>49716</v>
      </c>
      <c r="K68" s="232"/>
      <c r="L68" s="225">
        <f>'Giường TT22 BYT'!G22</f>
        <v>177200</v>
      </c>
      <c r="M68" s="225">
        <f t="shared" si="7"/>
        <v>177200</v>
      </c>
      <c r="N68" s="225">
        <f t="shared" si="11"/>
        <v>177268</v>
      </c>
      <c r="O68" s="228">
        <f>'Giường BHYT'!E65</f>
        <v>127552</v>
      </c>
      <c r="P68" s="225">
        <f t="shared" si="8"/>
        <v>49716</v>
      </c>
      <c r="Q68" s="225">
        <f t="shared" si="9"/>
        <v>215500</v>
      </c>
      <c r="R68" s="225">
        <f t="shared" si="12"/>
        <v>215534.50434782609</v>
      </c>
      <c r="S68" s="225">
        <f t="shared" si="13"/>
        <v>165818.50434782609</v>
      </c>
      <c r="T68" s="257">
        <f>Giường!T68</f>
        <v>49716</v>
      </c>
      <c r="U68" s="225"/>
      <c r="V68" s="225"/>
      <c r="W68" s="249"/>
    </row>
    <row r="69" spans="1:23" ht="31.5" x14ac:dyDescent="0.25">
      <c r="A69" s="251" t="s">
        <v>87</v>
      </c>
      <c r="B69" s="226"/>
      <c r="C69" s="226"/>
      <c r="D69" s="226"/>
      <c r="E69" s="226"/>
      <c r="F69" s="227" t="s">
        <v>101</v>
      </c>
      <c r="G69" s="225">
        <v>114700</v>
      </c>
      <c r="H69" s="225">
        <f t="shared" si="10"/>
        <v>114667</v>
      </c>
      <c r="I69" s="244">
        <f>78449-10438</f>
        <v>68011</v>
      </c>
      <c r="J69" s="257">
        <f>36218+10438</f>
        <v>46656</v>
      </c>
      <c r="K69" s="232"/>
      <c r="L69" s="225">
        <f>'Giường TT22 BYT'!G24</f>
        <v>153100</v>
      </c>
      <c r="M69" s="225">
        <f t="shared" si="7"/>
        <v>153100</v>
      </c>
      <c r="N69" s="225">
        <f t="shared" si="11"/>
        <v>153109</v>
      </c>
      <c r="O69" s="228">
        <f>'Giường BHYT'!E66</f>
        <v>106453</v>
      </c>
      <c r="P69" s="225">
        <f t="shared" si="8"/>
        <v>46656</v>
      </c>
      <c r="Q69" s="225">
        <f t="shared" si="9"/>
        <v>185000</v>
      </c>
      <c r="R69" s="225">
        <f t="shared" si="12"/>
        <v>185043.6</v>
      </c>
      <c r="S69" s="225">
        <f t="shared" si="13"/>
        <v>138387.6</v>
      </c>
      <c r="T69" s="257">
        <f>Giường!T69</f>
        <v>46656</v>
      </c>
      <c r="U69" s="225"/>
      <c r="V69" s="225"/>
      <c r="W69" s="249"/>
    </row>
    <row r="70" spans="1:23" s="247" customFormat="1" ht="132" x14ac:dyDescent="0.2">
      <c r="A70" s="235" t="s">
        <v>127</v>
      </c>
      <c r="B70" s="42" t="s">
        <v>89</v>
      </c>
      <c r="C70" s="237"/>
      <c r="D70" s="237"/>
      <c r="E70" s="237"/>
      <c r="F70" s="236" t="s">
        <v>89</v>
      </c>
      <c r="G70" s="243"/>
      <c r="H70" s="244"/>
      <c r="I70" s="244"/>
      <c r="J70" s="268"/>
      <c r="K70" s="244"/>
      <c r="L70" s="244">
        <v>64100</v>
      </c>
      <c r="M70" s="225">
        <f t="shared" si="7"/>
        <v>64100</v>
      </c>
      <c r="N70" s="244">
        <f>N64*50%</f>
        <v>64109.586956521744</v>
      </c>
      <c r="O70" s="244"/>
      <c r="P70" s="244"/>
      <c r="Q70" s="244">
        <f t="shared" si="9"/>
        <v>78100</v>
      </c>
      <c r="R70" s="248">
        <f>R64*50%</f>
        <v>78175.413043478271</v>
      </c>
      <c r="S70" s="244"/>
      <c r="T70" s="268"/>
      <c r="U70" s="244"/>
      <c r="V70" s="244"/>
      <c r="W70" s="250" t="s">
        <v>248</v>
      </c>
    </row>
    <row r="71" spans="1:23" ht="22.9" customHeight="1" x14ac:dyDescent="0.25">
      <c r="A71" s="31" t="s">
        <v>234</v>
      </c>
      <c r="B71" s="42" t="s">
        <v>90</v>
      </c>
      <c r="C71" s="233"/>
      <c r="D71" s="233"/>
      <c r="E71" s="233"/>
      <c r="F71" s="237" t="s">
        <v>90</v>
      </c>
      <c r="G71" s="298" t="s">
        <v>126</v>
      </c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51"/>
      <c r="V71" s="251"/>
      <c r="W71" s="249"/>
    </row>
    <row r="72" spans="1:23" x14ac:dyDescent="0.25">
      <c r="A72" s="278"/>
      <c r="B72" s="239"/>
      <c r="C72" s="239"/>
      <c r="D72" s="239"/>
      <c r="E72" s="239"/>
      <c r="F72" s="240" t="s">
        <v>245</v>
      </c>
      <c r="G72" s="239"/>
      <c r="H72" s="241"/>
      <c r="I72" s="241"/>
      <c r="K72" s="241"/>
      <c r="L72" s="241"/>
      <c r="M72" s="241"/>
      <c r="N72" s="241"/>
      <c r="O72" s="241"/>
      <c r="P72" s="241"/>
      <c r="Q72" s="241"/>
      <c r="R72" s="241"/>
      <c r="S72" s="241"/>
      <c r="U72" s="241"/>
      <c r="V72" s="241"/>
    </row>
  </sheetData>
  <mergeCells count="32">
    <mergeCell ref="G71:T71"/>
    <mergeCell ref="R7:R8"/>
    <mergeCell ref="S7:S8"/>
    <mergeCell ref="T7:T8"/>
    <mergeCell ref="U7:U8"/>
    <mergeCell ref="H7:H8"/>
    <mergeCell ref="I7:I8"/>
    <mergeCell ref="J7:J8"/>
    <mergeCell ref="K7:K8"/>
    <mergeCell ref="V7:V8"/>
    <mergeCell ref="L7:L8"/>
    <mergeCell ref="M7:M8"/>
    <mergeCell ref="N7:N8"/>
    <mergeCell ref="O7:O8"/>
    <mergeCell ref="P7:P8"/>
    <mergeCell ref="Q7:Q8"/>
    <mergeCell ref="A2:W2"/>
    <mergeCell ref="A3:W3"/>
    <mergeCell ref="A4:W4"/>
    <mergeCell ref="T5:W5"/>
    <mergeCell ref="A6:A8"/>
    <mergeCell ref="B6:B8"/>
    <mergeCell ref="C6:C8"/>
    <mergeCell ref="D6:D8"/>
    <mergeCell ref="E6:E8"/>
    <mergeCell ref="F6:F8"/>
    <mergeCell ref="G6:J6"/>
    <mergeCell ref="L6:P6"/>
    <mergeCell ref="Q6:T6"/>
    <mergeCell ref="U6:V6"/>
    <mergeCell ref="W6:W8"/>
    <mergeCell ref="G7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workbookViewId="0">
      <selection activeCell="F16" sqref="F16"/>
    </sheetView>
  </sheetViews>
  <sheetFormatPr defaultRowHeight="14.25" x14ac:dyDescent="0.2"/>
  <cols>
    <col min="2" max="2" width="83.25" customWidth="1"/>
    <col min="3" max="3" width="41.375" customWidth="1"/>
  </cols>
  <sheetData>
    <row r="1" spans="1:3" ht="17.25" thickBot="1" x14ac:dyDescent="0.25">
      <c r="A1" s="108" t="s">
        <v>162</v>
      </c>
      <c r="B1" s="108" t="s">
        <v>163</v>
      </c>
      <c r="C1" s="108" t="s">
        <v>164</v>
      </c>
    </row>
    <row r="2" spans="1:3" ht="17.25" thickBot="1" x14ac:dyDescent="0.3">
      <c r="A2" s="115" t="s">
        <v>165</v>
      </c>
      <c r="B2" s="116" t="s">
        <v>166</v>
      </c>
      <c r="C2" s="111" t="s">
        <v>167</v>
      </c>
    </row>
    <row r="3" spans="1:3" ht="17.25" thickBot="1" x14ac:dyDescent="0.3">
      <c r="A3" s="115" t="s">
        <v>168</v>
      </c>
      <c r="B3" s="115" t="s">
        <v>169</v>
      </c>
      <c r="C3" s="117" t="s">
        <v>170</v>
      </c>
    </row>
    <row r="4" spans="1:3" ht="17.25" thickBot="1" x14ac:dyDescent="0.3">
      <c r="A4" s="115" t="s">
        <v>171</v>
      </c>
      <c r="B4" s="115" t="s">
        <v>172</v>
      </c>
      <c r="C4" s="118"/>
    </row>
    <row r="5" spans="1:3" ht="50.25" thickBot="1" x14ac:dyDescent="0.3">
      <c r="A5" s="119" t="s">
        <v>173</v>
      </c>
      <c r="B5" s="116" t="s">
        <v>174</v>
      </c>
      <c r="C5" s="111" t="s">
        <v>175</v>
      </c>
    </row>
    <row r="6" spans="1:3" ht="50.25" thickBot="1" x14ac:dyDescent="0.3">
      <c r="A6" s="108" t="s">
        <v>176</v>
      </c>
      <c r="B6" s="116" t="s">
        <v>177</v>
      </c>
      <c r="C6" s="111" t="s">
        <v>178</v>
      </c>
    </row>
    <row r="7" spans="1:3" ht="17.25" thickBot="1" x14ac:dyDescent="0.3">
      <c r="A7" s="115" t="s">
        <v>179</v>
      </c>
      <c r="B7" s="115" t="s">
        <v>180</v>
      </c>
      <c r="C7" s="117" t="s">
        <v>181</v>
      </c>
    </row>
    <row r="8" spans="1:3" ht="17.25" thickBot="1" x14ac:dyDescent="0.3">
      <c r="A8" s="115" t="s">
        <v>182</v>
      </c>
      <c r="B8" s="115" t="s">
        <v>183</v>
      </c>
      <c r="C8" s="118"/>
    </row>
    <row r="9" spans="1:3" ht="17.25" thickBot="1" x14ac:dyDescent="0.3">
      <c r="A9" s="108" t="s">
        <v>184</v>
      </c>
      <c r="B9" s="116" t="s">
        <v>185</v>
      </c>
      <c r="C9" s="111" t="s">
        <v>186</v>
      </c>
    </row>
    <row r="10" spans="1:3" ht="17.25" thickBot="1" x14ac:dyDescent="0.3">
      <c r="A10" s="115" t="s">
        <v>187</v>
      </c>
      <c r="B10" s="116" t="s">
        <v>188</v>
      </c>
      <c r="C10" s="117" t="s">
        <v>189</v>
      </c>
    </row>
    <row r="11" spans="1:3" ht="33.75" thickBot="1" x14ac:dyDescent="0.3">
      <c r="A11" s="108" t="s">
        <v>190</v>
      </c>
      <c r="B11" s="116" t="s">
        <v>191</v>
      </c>
      <c r="C11" s="111" t="s">
        <v>192</v>
      </c>
    </row>
    <row r="12" spans="1:3" ht="17.25" thickBot="1" x14ac:dyDescent="0.3">
      <c r="A12" s="119" t="s">
        <v>193</v>
      </c>
      <c r="B12" s="116" t="s">
        <v>194</v>
      </c>
      <c r="C12" s="111" t="s">
        <v>195</v>
      </c>
    </row>
    <row r="13" spans="1:3" ht="33.75" thickBot="1" x14ac:dyDescent="0.3">
      <c r="A13" s="119" t="s">
        <v>196</v>
      </c>
      <c r="B13" s="119" t="s">
        <v>197</v>
      </c>
      <c r="C13" s="120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00"/>
  <sheetViews>
    <sheetView topLeftCell="A10" workbookViewId="0">
      <selection activeCell="E15" sqref="E15"/>
    </sheetView>
  </sheetViews>
  <sheetFormatPr defaultColWidth="12.25" defaultRowHeight="15" customHeight="1" x14ac:dyDescent="0.2"/>
  <cols>
    <col min="1" max="1" width="11.75" customWidth="1"/>
    <col min="2" max="2" width="54.375" customWidth="1"/>
    <col min="3" max="3" width="22.25" customWidth="1"/>
    <col min="4" max="14" width="9.625" customWidth="1"/>
  </cols>
  <sheetData>
    <row r="1" spans="1:14" ht="26.25" customHeight="1" x14ac:dyDescent="0.3">
      <c r="A1" s="121" t="s">
        <v>66</v>
      </c>
      <c r="B1" s="122"/>
      <c r="C1" s="123" t="s">
        <v>199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9.5" customHeight="1" x14ac:dyDescent="0.3">
      <c r="A2" s="122"/>
      <c r="B2" s="124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22.5" customHeight="1" x14ac:dyDescent="0.3">
      <c r="A3" s="349" t="s">
        <v>200</v>
      </c>
      <c r="B3" s="349"/>
      <c r="C3" s="349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25.5" customHeight="1" x14ac:dyDescent="0.25">
      <c r="A4" s="350" t="s">
        <v>201</v>
      </c>
      <c r="B4" s="350"/>
      <c r="C4" s="350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24.75" customHeight="1" x14ac:dyDescent="0.25">
      <c r="A5" s="126"/>
      <c r="B5" s="126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24.75" customHeight="1" x14ac:dyDescent="0.25">
      <c r="A6" s="21"/>
      <c r="B6" s="21"/>
      <c r="C6" s="127" t="s">
        <v>202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ht="66.75" customHeight="1" x14ac:dyDescent="0.2">
      <c r="A7" s="128" t="s">
        <v>33</v>
      </c>
      <c r="B7" s="128" t="s">
        <v>203</v>
      </c>
      <c r="C7" s="128" t="s">
        <v>204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ht="22.5" customHeight="1" x14ac:dyDescent="0.2">
      <c r="A8" s="130">
        <v>1</v>
      </c>
      <c r="B8" s="130">
        <v>2</v>
      </c>
      <c r="C8" s="130">
        <v>3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ht="29.25" customHeight="1" x14ac:dyDescent="0.25">
      <c r="A9" s="132" t="s">
        <v>10</v>
      </c>
      <c r="B9" s="133" t="s">
        <v>205</v>
      </c>
      <c r="C9" s="134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0" spans="1:14" ht="36" customHeight="1" x14ac:dyDescent="0.2">
      <c r="A10" s="136">
        <v>1</v>
      </c>
      <c r="B10" s="137" t="s">
        <v>206</v>
      </c>
      <c r="C10" s="138">
        <v>50600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80.25" customHeight="1" x14ac:dyDescent="0.2">
      <c r="A11" s="139">
        <v>2</v>
      </c>
      <c r="B11" s="140" t="s">
        <v>65</v>
      </c>
      <c r="C11" s="141">
        <v>200000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ht="57.75" customHeight="1" x14ac:dyDescent="0.25">
      <c r="A12" s="142" t="s">
        <v>15</v>
      </c>
      <c r="B12" s="351" t="s">
        <v>207</v>
      </c>
      <c r="C12" s="352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58.5" customHeight="1" x14ac:dyDescent="0.2">
      <c r="A13" s="143">
        <v>3</v>
      </c>
      <c r="B13" s="144" t="s">
        <v>130</v>
      </c>
      <c r="C13" s="138">
        <v>160000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58.5" customHeight="1" x14ac:dyDescent="0.2">
      <c r="A14" s="143">
        <v>4</v>
      </c>
      <c r="B14" s="144" t="s">
        <v>131</v>
      </c>
      <c r="C14" s="138">
        <v>160000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ht="58.5" customHeight="1" x14ac:dyDescent="0.2">
      <c r="A15" s="139">
        <v>5</v>
      </c>
      <c r="B15" s="140" t="s">
        <v>132</v>
      </c>
      <c r="C15" s="141">
        <v>450000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12.75" customHeight="1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12.75" customHeight="1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12.75" customHeight="1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12.75" customHeight="1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4" ht="12.75" customHeight="1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ht="12.75" customHeight="1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12.75" customHeight="1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</row>
    <row r="24" spans="1:14" ht="12.75" customHeight="1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ht="12.75" customHeight="1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14" ht="12.75" customHeight="1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</row>
    <row r="27" spans="1:14" ht="12.75" customHeight="1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14" ht="12.75" customHeight="1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14" ht="12.75" customHeight="1" x14ac:dyDescent="0.2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2.75" customHeight="1" x14ac:dyDescent="0.2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ht="12.75" customHeight="1" x14ac:dyDescent="0.2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4" ht="12.75" customHeight="1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12.75" customHeight="1" x14ac:dyDescent="0.2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12.75" customHeight="1" x14ac:dyDescent="0.2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12.75" customHeight="1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12.75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12.75" customHeight="1" x14ac:dyDescent="0.2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12.75" customHeight="1" x14ac:dyDescent="0.2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12.75" customHeight="1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12.75" customHeight="1" x14ac:dyDescent="0.2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12.75" customHeight="1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12.75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12.75" customHeight="1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12.75" customHeight="1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12.75" customHeight="1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12.75" customHeight="1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12.75" customHeight="1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12.75" customHeight="1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12.75" customHeight="1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12.75" customHeight="1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12.75" customHeight="1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12.75" customHeight="1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12.75" customHeight="1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12.75" customHeight="1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12.75" customHeight="1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12.75" customHeight="1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14" ht="12.75" customHeight="1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12.75" customHeight="1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12.75" customHeight="1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12.75" customHeight="1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12.75" customHeight="1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12.75" customHeight="1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</row>
    <row r="63" spans="1:14" ht="12.75" customHeight="1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12.75" customHeight="1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12.75" customHeight="1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12.75" customHeight="1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12.75" customHeight="1" x14ac:dyDescent="0.2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</row>
    <row r="68" spans="1:14" ht="12.75" customHeight="1" x14ac:dyDescent="0.2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</row>
    <row r="69" spans="1:14" ht="12.75" customHeight="1" x14ac:dyDescent="0.2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12.75" customHeight="1" x14ac:dyDescent="0.2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12.75" customHeight="1" x14ac:dyDescent="0.2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12.75" customHeight="1" x14ac:dyDescent="0.2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12.75" customHeight="1" x14ac:dyDescent="0.2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</row>
    <row r="74" spans="1:14" ht="12.75" customHeight="1" x14ac:dyDescent="0.2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</row>
    <row r="75" spans="1:14" ht="12.75" customHeight="1" x14ac:dyDescent="0.2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</row>
    <row r="76" spans="1:14" ht="12.75" customHeight="1" x14ac:dyDescent="0.2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</row>
    <row r="77" spans="1:14" ht="12.75" customHeight="1" x14ac:dyDescent="0.2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</row>
    <row r="78" spans="1:14" ht="12.75" customHeight="1" x14ac:dyDescent="0.2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</row>
    <row r="79" spans="1:14" ht="12.75" customHeight="1" x14ac:dyDescent="0.2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</row>
    <row r="80" spans="1:14" ht="12.75" customHeight="1" x14ac:dyDescent="0.2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</row>
    <row r="81" spans="1:14" ht="12.75" customHeight="1" x14ac:dyDescent="0.2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</row>
    <row r="82" spans="1:14" ht="12.75" customHeight="1" x14ac:dyDescent="0.2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</row>
    <row r="83" spans="1:14" ht="12.75" customHeight="1" x14ac:dyDescent="0.2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</row>
    <row r="84" spans="1:14" ht="12.75" customHeight="1" x14ac:dyDescent="0.2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spans="1:14" ht="12.75" customHeight="1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spans="1:14" ht="12.75" customHeight="1" x14ac:dyDescent="0.2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</row>
    <row r="87" spans="1:14" ht="12.75" customHeight="1" x14ac:dyDescent="0.2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</row>
    <row r="88" spans="1:14" ht="12.75" customHeight="1" x14ac:dyDescent="0.2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</row>
    <row r="89" spans="1:14" ht="12.75" customHeight="1" x14ac:dyDescent="0.2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</row>
    <row r="90" spans="1:14" ht="12.75" customHeight="1" x14ac:dyDescent="0.2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</row>
    <row r="91" spans="1:14" ht="12.75" customHeight="1" x14ac:dyDescent="0.2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</row>
    <row r="92" spans="1:14" ht="12.75" customHeight="1" x14ac:dyDescent="0.2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</row>
    <row r="93" spans="1:14" ht="12.75" customHeight="1" x14ac:dyDescent="0.2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</row>
    <row r="94" spans="1:14" ht="12.75" customHeight="1" x14ac:dyDescent="0.2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</row>
    <row r="95" spans="1:14" ht="12.75" customHeight="1" x14ac:dyDescent="0.2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</row>
    <row r="96" spans="1:14" ht="12.75" customHeight="1" x14ac:dyDescent="0.2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</row>
    <row r="97" spans="1:14" ht="12.75" customHeight="1" x14ac:dyDescent="0.2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</row>
    <row r="98" spans="1:14" ht="12.75" customHeight="1" x14ac:dyDescent="0.2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</row>
    <row r="99" spans="1:14" ht="12.75" customHeight="1" x14ac:dyDescent="0.2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</row>
    <row r="100" spans="1:14" ht="12.75" customHeight="1" x14ac:dyDescent="0.2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</row>
    <row r="101" spans="1:14" ht="12.75" customHeight="1" x14ac:dyDescent="0.2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</row>
    <row r="102" spans="1:14" ht="12.75" customHeight="1" x14ac:dyDescent="0.2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</row>
    <row r="103" spans="1:14" ht="12.75" customHeight="1" x14ac:dyDescent="0.2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</row>
    <row r="104" spans="1:14" ht="12.75" customHeight="1" x14ac:dyDescent="0.2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</row>
    <row r="105" spans="1:14" ht="12.75" customHeight="1" x14ac:dyDescent="0.2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</row>
    <row r="106" spans="1:14" ht="12.75" customHeight="1" x14ac:dyDescent="0.2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</row>
    <row r="107" spans="1:14" ht="12.75" customHeight="1" x14ac:dyDescent="0.2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</row>
    <row r="108" spans="1:14" ht="12.75" customHeight="1" x14ac:dyDescent="0.2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</row>
    <row r="109" spans="1:14" ht="12.75" customHeight="1" x14ac:dyDescent="0.2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</row>
    <row r="110" spans="1:14" ht="12.75" customHeight="1" x14ac:dyDescent="0.2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</row>
    <row r="111" spans="1:14" ht="12.75" customHeight="1" x14ac:dyDescent="0.2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</row>
    <row r="112" spans="1:14" ht="12.75" customHeight="1" x14ac:dyDescent="0.2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</row>
    <row r="113" spans="1:14" ht="12.75" customHeight="1" x14ac:dyDescent="0.2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</row>
    <row r="114" spans="1:14" ht="12.75" customHeight="1" x14ac:dyDescent="0.2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</row>
    <row r="115" spans="1:14" ht="12.75" customHeight="1" x14ac:dyDescent="0.2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</row>
    <row r="116" spans="1:14" ht="12.75" customHeight="1" x14ac:dyDescent="0.2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</row>
    <row r="117" spans="1:14" ht="12.75" customHeight="1" x14ac:dyDescent="0.2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</row>
    <row r="118" spans="1:14" ht="12.75" customHeight="1" x14ac:dyDescent="0.2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  <row r="119" spans="1:14" ht="12.75" customHeight="1" x14ac:dyDescent="0.2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</row>
    <row r="120" spans="1:14" ht="12.75" customHeight="1" x14ac:dyDescent="0.2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</row>
    <row r="121" spans="1:14" ht="12.75" customHeight="1" x14ac:dyDescent="0.2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</row>
    <row r="122" spans="1:14" ht="12.75" customHeight="1" x14ac:dyDescent="0.2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</row>
    <row r="123" spans="1:14" ht="12.75" customHeight="1" x14ac:dyDescent="0.2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</row>
    <row r="124" spans="1:14" ht="12.75" customHeight="1" x14ac:dyDescent="0.2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</row>
    <row r="125" spans="1:14" ht="12.75" customHeight="1" x14ac:dyDescent="0.2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</row>
    <row r="126" spans="1:14" ht="12.75" customHeight="1" x14ac:dyDescent="0.2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</row>
    <row r="127" spans="1:14" ht="12.75" customHeight="1" x14ac:dyDescent="0.2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</row>
    <row r="128" spans="1:14" ht="12.75" customHeight="1" x14ac:dyDescent="0.2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</row>
    <row r="129" spans="1:14" ht="12.75" customHeight="1" x14ac:dyDescent="0.2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</row>
    <row r="130" spans="1:14" ht="12.75" customHeight="1" x14ac:dyDescent="0.2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</row>
    <row r="131" spans="1:14" ht="12.75" customHeight="1" x14ac:dyDescent="0.2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</row>
    <row r="132" spans="1:14" ht="12.75" customHeight="1" x14ac:dyDescent="0.2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</row>
    <row r="133" spans="1:14" ht="12.75" customHeight="1" x14ac:dyDescent="0.2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</row>
    <row r="134" spans="1:14" ht="12.75" customHeight="1" x14ac:dyDescent="0.2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</row>
    <row r="135" spans="1:14" ht="12.75" customHeight="1" x14ac:dyDescent="0.2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</row>
    <row r="136" spans="1:14" ht="12.75" customHeight="1" x14ac:dyDescent="0.2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</row>
    <row r="137" spans="1:14" ht="12.75" customHeight="1" x14ac:dyDescent="0.2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</row>
    <row r="138" spans="1:14" ht="12.75" customHeight="1" x14ac:dyDescent="0.2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</row>
    <row r="139" spans="1:14" ht="12.75" customHeight="1" x14ac:dyDescent="0.2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</row>
    <row r="140" spans="1:14" ht="12.75" customHeight="1" x14ac:dyDescent="0.2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</row>
    <row r="141" spans="1:14" ht="12.75" customHeight="1" x14ac:dyDescent="0.2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</row>
    <row r="142" spans="1:14" ht="12.75" customHeight="1" x14ac:dyDescent="0.2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</row>
    <row r="143" spans="1:14" ht="12.75" customHeight="1" x14ac:dyDescent="0.2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</row>
    <row r="144" spans="1:14" ht="12.75" customHeight="1" x14ac:dyDescent="0.2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</row>
    <row r="145" spans="1:14" ht="12.75" customHeight="1" x14ac:dyDescent="0.2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</row>
    <row r="146" spans="1:14" ht="12.75" customHeight="1" x14ac:dyDescent="0.2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</row>
    <row r="147" spans="1:14" ht="12.75" customHeight="1" x14ac:dyDescent="0.2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</row>
    <row r="148" spans="1:14" ht="12.75" customHeight="1" x14ac:dyDescent="0.2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</row>
    <row r="149" spans="1:14" ht="12.75" customHeight="1" x14ac:dyDescent="0.2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</row>
    <row r="150" spans="1:14" ht="12.75" customHeight="1" x14ac:dyDescent="0.2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</row>
    <row r="151" spans="1:14" ht="12.75" customHeight="1" x14ac:dyDescent="0.2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</row>
    <row r="152" spans="1:14" ht="12.75" customHeight="1" x14ac:dyDescent="0.2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</row>
    <row r="153" spans="1:14" ht="12.75" customHeight="1" x14ac:dyDescent="0.2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</row>
    <row r="154" spans="1:14" ht="12.75" customHeight="1" x14ac:dyDescent="0.2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</row>
    <row r="155" spans="1:14" ht="12.75" customHeight="1" x14ac:dyDescent="0.2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</row>
    <row r="156" spans="1:14" ht="12.75" customHeight="1" x14ac:dyDescent="0.2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</row>
    <row r="157" spans="1:14" ht="12.75" customHeight="1" x14ac:dyDescent="0.2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</row>
    <row r="158" spans="1:14" ht="12.75" customHeight="1" x14ac:dyDescent="0.2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</row>
    <row r="159" spans="1:14" ht="12.75" customHeight="1" x14ac:dyDescent="0.2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</row>
    <row r="160" spans="1:14" ht="12.75" customHeight="1" x14ac:dyDescent="0.2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</row>
    <row r="161" spans="1:14" ht="12.75" customHeight="1" x14ac:dyDescent="0.2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</row>
    <row r="162" spans="1:14" ht="12.75" customHeight="1" x14ac:dyDescent="0.2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</row>
    <row r="163" spans="1:14" ht="12.75" customHeight="1" x14ac:dyDescent="0.2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</row>
    <row r="164" spans="1:14" ht="12.75" customHeight="1" x14ac:dyDescent="0.2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</row>
    <row r="165" spans="1:14" ht="12.75" customHeight="1" x14ac:dyDescent="0.2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</row>
    <row r="166" spans="1:14" ht="12.75" customHeight="1" x14ac:dyDescent="0.2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</row>
    <row r="167" spans="1:14" ht="12.75" customHeight="1" x14ac:dyDescent="0.2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</row>
    <row r="168" spans="1:14" ht="12.75" customHeight="1" x14ac:dyDescent="0.2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</row>
    <row r="169" spans="1:14" ht="12.75" customHeight="1" x14ac:dyDescent="0.2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</row>
    <row r="170" spans="1:14" ht="12.75" customHeight="1" x14ac:dyDescent="0.2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</row>
    <row r="171" spans="1:14" ht="12.75" customHeight="1" x14ac:dyDescent="0.2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</row>
    <row r="172" spans="1:14" ht="12.75" customHeight="1" x14ac:dyDescent="0.2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</row>
    <row r="173" spans="1:14" ht="12.75" customHeight="1" x14ac:dyDescent="0.2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</row>
    <row r="174" spans="1:14" ht="12.75" customHeight="1" x14ac:dyDescent="0.2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</row>
    <row r="175" spans="1:14" ht="12.75" customHeight="1" x14ac:dyDescent="0.2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</row>
    <row r="176" spans="1:14" ht="12.75" customHeight="1" x14ac:dyDescent="0.2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</row>
    <row r="177" spans="1:14" ht="12.75" customHeight="1" x14ac:dyDescent="0.2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</row>
    <row r="178" spans="1:14" ht="12.75" customHeight="1" x14ac:dyDescent="0.2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</row>
    <row r="179" spans="1:14" ht="12.75" customHeight="1" x14ac:dyDescent="0.2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</row>
    <row r="180" spans="1:14" ht="12.75" customHeight="1" x14ac:dyDescent="0.2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</row>
    <row r="181" spans="1:14" ht="12.75" customHeight="1" x14ac:dyDescent="0.2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</row>
    <row r="182" spans="1:14" ht="12.75" customHeight="1" x14ac:dyDescent="0.2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</row>
    <row r="183" spans="1:14" ht="12.75" customHeight="1" x14ac:dyDescent="0.2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</row>
    <row r="184" spans="1:14" ht="12.75" customHeight="1" x14ac:dyDescent="0.2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</row>
    <row r="185" spans="1:14" ht="12.75" customHeight="1" x14ac:dyDescent="0.2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</row>
    <row r="186" spans="1:14" ht="12.75" customHeight="1" x14ac:dyDescent="0.2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</row>
    <row r="187" spans="1:14" ht="12.75" customHeight="1" x14ac:dyDescent="0.2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</row>
    <row r="188" spans="1:14" ht="12.75" customHeight="1" x14ac:dyDescent="0.2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</row>
    <row r="189" spans="1:14" ht="12.75" customHeight="1" x14ac:dyDescent="0.2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</row>
    <row r="190" spans="1:14" ht="12.75" customHeight="1" x14ac:dyDescent="0.2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</row>
    <row r="191" spans="1:14" ht="12.75" customHeight="1" x14ac:dyDescent="0.2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</row>
    <row r="192" spans="1:14" ht="12.75" customHeight="1" x14ac:dyDescent="0.2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</row>
    <row r="193" spans="1:14" ht="12.75" customHeight="1" x14ac:dyDescent="0.2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</row>
    <row r="194" spans="1:14" ht="12.75" customHeight="1" x14ac:dyDescent="0.2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</row>
    <row r="195" spans="1:14" ht="12.75" customHeight="1" x14ac:dyDescent="0.2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</row>
    <row r="196" spans="1:14" ht="12.75" customHeight="1" x14ac:dyDescent="0.2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</row>
    <row r="197" spans="1:14" ht="12.75" customHeight="1" x14ac:dyDescent="0.2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</row>
    <row r="198" spans="1:14" ht="12.75" customHeight="1" x14ac:dyDescent="0.2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</row>
    <row r="199" spans="1:14" ht="12.75" customHeight="1" x14ac:dyDescent="0.2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</row>
    <row r="200" spans="1:14" ht="12.75" customHeight="1" x14ac:dyDescent="0.2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</row>
    <row r="201" spans="1:14" ht="12.75" customHeight="1" x14ac:dyDescent="0.2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</row>
    <row r="202" spans="1:14" ht="12.75" customHeight="1" x14ac:dyDescent="0.2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</row>
    <row r="203" spans="1:14" ht="12.75" customHeight="1" x14ac:dyDescent="0.2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</row>
    <row r="204" spans="1:14" ht="12.75" customHeight="1" x14ac:dyDescent="0.2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</row>
    <row r="205" spans="1:14" ht="12.75" customHeight="1" x14ac:dyDescent="0.2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</row>
    <row r="206" spans="1:14" ht="12.75" customHeight="1" x14ac:dyDescent="0.2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</row>
    <row r="207" spans="1:14" ht="12.75" customHeight="1" x14ac:dyDescent="0.2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</row>
    <row r="208" spans="1:14" ht="12.75" customHeight="1" x14ac:dyDescent="0.2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</row>
    <row r="209" spans="1:14" ht="12.75" customHeight="1" x14ac:dyDescent="0.2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</row>
    <row r="210" spans="1:14" ht="12.75" customHeight="1" x14ac:dyDescent="0.2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</row>
    <row r="211" spans="1:14" ht="12.75" customHeight="1" x14ac:dyDescent="0.2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</row>
    <row r="212" spans="1:14" ht="12.75" customHeight="1" x14ac:dyDescent="0.2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</row>
    <row r="213" spans="1:14" ht="12.75" customHeight="1" x14ac:dyDescent="0.2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</row>
    <row r="214" spans="1:14" ht="12.75" customHeight="1" x14ac:dyDescent="0.2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</row>
    <row r="215" spans="1:14" ht="12.75" customHeight="1" x14ac:dyDescent="0.2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</row>
    <row r="216" spans="1:14" ht="12.75" customHeight="1" x14ac:dyDescent="0.2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</row>
    <row r="217" spans="1:14" ht="12.75" customHeight="1" x14ac:dyDescent="0.2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</row>
    <row r="218" spans="1:14" ht="12.75" customHeight="1" x14ac:dyDescent="0.2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</row>
    <row r="219" spans="1:14" ht="12.75" customHeight="1" x14ac:dyDescent="0.2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</row>
    <row r="220" spans="1:14" ht="12.75" customHeight="1" x14ac:dyDescent="0.2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</row>
    <row r="221" spans="1:14" ht="12.75" customHeight="1" x14ac:dyDescent="0.2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</row>
    <row r="222" spans="1:14" ht="12.75" customHeight="1" x14ac:dyDescent="0.2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</row>
    <row r="223" spans="1:14" ht="12.75" customHeight="1" x14ac:dyDescent="0.2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</row>
    <row r="224" spans="1:14" ht="12.75" customHeight="1" x14ac:dyDescent="0.2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</row>
    <row r="225" spans="1:14" ht="12.75" customHeight="1" x14ac:dyDescent="0.2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</row>
    <row r="226" spans="1:14" ht="12.75" customHeight="1" x14ac:dyDescent="0.2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</row>
    <row r="227" spans="1:14" ht="12.75" customHeight="1" x14ac:dyDescent="0.2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</row>
    <row r="228" spans="1:14" ht="12.75" customHeight="1" x14ac:dyDescent="0.2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</row>
    <row r="229" spans="1:14" ht="12.75" customHeight="1" x14ac:dyDescent="0.2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</row>
    <row r="230" spans="1:14" ht="12.75" customHeight="1" x14ac:dyDescent="0.2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</row>
    <row r="231" spans="1:14" ht="12.75" customHeight="1" x14ac:dyDescent="0.2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</row>
    <row r="232" spans="1:14" ht="12.75" customHeight="1" x14ac:dyDescent="0.2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</row>
    <row r="233" spans="1:14" ht="12.75" customHeight="1" x14ac:dyDescent="0.2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</row>
    <row r="234" spans="1:14" ht="12.75" customHeight="1" x14ac:dyDescent="0.2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</row>
    <row r="235" spans="1:14" ht="12.75" customHeight="1" x14ac:dyDescent="0.2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</row>
    <row r="236" spans="1:14" ht="12.75" customHeight="1" x14ac:dyDescent="0.2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</row>
    <row r="237" spans="1:14" ht="12.75" customHeight="1" x14ac:dyDescent="0.2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</row>
    <row r="238" spans="1:14" ht="12.75" customHeight="1" x14ac:dyDescent="0.2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</row>
    <row r="239" spans="1:14" ht="12.75" customHeight="1" x14ac:dyDescent="0.2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</row>
    <row r="240" spans="1:14" ht="12.75" customHeight="1" x14ac:dyDescent="0.2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</row>
    <row r="241" spans="1:14" ht="12.75" customHeight="1" x14ac:dyDescent="0.2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</row>
    <row r="242" spans="1:14" ht="12.75" customHeight="1" x14ac:dyDescent="0.2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</row>
    <row r="243" spans="1:14" ht="12.75" customHeight="1" x14ac:dyDescent="0.2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</row>
    <row r="244" spans="1:14" ht="12.75" customHeight="1" x14ac:dyDescent="0.2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</row>
    <row r="245" spans="1:14" ht="12.75" customHeight="1" x14ac:dyDescent="0.2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</row>
    <row r="246" spans="1:14" ht="12.75" customHeight="1" x14ac:dyDescent="0.2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</row>
    <row r="247" spans="1:14" ht="12.75" customHeight="1" x14ac:dyDescent="0.2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</row>
    <row r="248" spans="1:14" ht="12.75" customHeight="1" x14ac:dyDescent="0.2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</row>
    <row r="249" spans="1:14" ht="12.75" customHeight="1" x14ac:dyDescent="0.2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</row>
    <row r="250" spans="1:14" ht="12.75" customHeight="1" x14ac:dyDescent="0.2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</row>
    <row r="251" spans="1:14" ht="12.75" customHeight="1" x14ac:dyDescent="0.2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</row>
    <row r="252" spans="1:14" ht="12.75" customHeight="1" x14ac:dyDescent="0.2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</row>
    <row r="253" spans="1:14" ht="12.75" customHeight="1" x14ac:dyDescent="0.2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</row>
    <row r="254" spans="1:14" ht="12.75" customHeight="1" x14ac:dyDescent="0.2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</row>
    <row r="255" spans="1:14" ht="12.75" customHeight="1" x14ac:dyDescent="0.2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</row>
    <row r="256" spans="1:14" ht="12.75" customHeight="1" x14ac:dyDescent="0.2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</row>
    <row r="257" spans="1:14" ht="12.75" customHeight="1" x14ac:dyDescent="0.2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</row>
    <row r="258" spans="1:14" ht="12.75" customHeight="1" x14ac:dyDescent="0.2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</row>
    <row r="259" spans="1:14" ht="12.75" customHeight="1" x14ac:dyDescent="0.2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</row>
    <row r="260" spans="1:14" ht="12.75" customHeight="1" x14ac:dyDescent="0.2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</row>
    <row r="261" spans="1:14" ht="12.75" customHeight="1" x14ac:dyDescent="0.2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</row>
    <row r="262" spans="1:14" ht="12.75" customHeight="1" x14ac:dyDescent="0.2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</row>
    <row r="263" spans="1:14" ht="12.75" customHeight="1" x14ac:dyDescent="0.2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</row>
    <row r="264" spans="1:14" ht="12.75" customHeight="1" x14ac:dyDescent="0.2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</row>
    <row r="265" spans="1:14" ht="12.75" customHeight="1" x14ac:dyDescent="0.2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</row>
    <row r="266" spans="1:14" ht="12.75" customHeight="1" x14ac:dyDescent="0.2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</row>
    <row r="267" spans="1:14" ht="12.75" customHeight="1" x14ac:dyDescent="0.2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</row>
    <row r="268" spans="1:14" ht="12.75" customHeight="1" x14ac:dyDescent="0.2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</row>
    <row r="269" spans="1:14" ht="12.75" customHeight="1" x14ac:dyDescent="0.2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</row>
    <row r="270" spans="1:14" ht="12.75" customHeight="1" x14ac:dyDescent="0.2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</row>
    <row r="271" spans="1:14" ht="12.75" customHeight="1" x14ac:dyDescent="0.2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</row>
    <row r="272" spans="1:14" ht="12.75" customHeight="1" x14ac:dyDescent="0.2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</row>
    <row r="273" spans="1:14" ht="12.75" customHeight="1" x14ac:dyDescent="0.2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</row>
    <row r="274" spans="1:14" ht="12.75" customHeight="1" x14ac:dyDescent="0.2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</row>
    <row r="275" spans="1:14" ht="12.75" customHeight="1" x14ac:dyDescent="0.2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</row>
    <row r="276" spans="1:14" ht="12.75" customHeight="1" x14ac:dyDescent="0.2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</row>
    <row r="277" spans="1:14" ht="12.75" customHeight="1" x14ac:dyDescent="0.2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</row>
    <row r="278" spans="1:14" ht="12.75" customHeight="1" x14ac:dyDescent="0.2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</row>
    <row r="279" spans="1:14" ht="12.75" customHeight="1" x14ac:dyDescent="0.2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</row>
    <row r="280" spans="1:14" ht="12.75" customHeight="1" x14ac:dyDescent="0.2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</row>
    <row r="281" spans="1:14" ht="12.75" customHeight="1" x14ac:dyDescent="0.2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</row>
    <row r="282" spans="1:14" ht="12.75" customHeight="1" x14ac:dyDescent="0.2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</row>
    <row r="283" spans="1:14" ht="12.75" customHeight="1" x14ac:dyDescent="0.2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</row>
    <row r="284" spans="1:14" ht="12.75" customHeight="1" x14ac:dyDescent="0.2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</row>
    <row r="285" spans="1:14" ht="12.75" customHeight="1" x14ac:dyDescent="0.2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</row>
    <row r="286" spans="1:14" ht="12.75" customHeight="1" x14ac:dyDescent="0.2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</row>
    <row r="287" spans="1:14" ht="12.75" customHeight="1" x14ac:dyDescent="0.2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</row>
    <row r="288" spans="1:14" ht="12.75" customHeight="1" x14ac:dyDescent="0.2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</row>
    <row r="289" spans="1:14" ht="12.75" customHeight="1" x14ac:dyDescent="0.2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</row>
    <row r="290" spans="1:14" ht="12.75" customHeight="1" x14ac:dyDescent="0.2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</row>
    <row r="291" spans="1:14" ht="12.75" customHeight="1" x14ac:dyDescent="0.2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</row>
    <row r="292" spans="1:14" ht="12.75" customHeight="1" x14ac:dyDescent="0.2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</row>
    <row r="293" spans="1:14" ht="12.75" customHeight="1" x14ac:dyDescent="0.2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</row>
    <row r="294" spans="1:14" ht="12.75" customHeight="1" x14ac:dyDescent="0.2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</row>
    <row r="295" spans="1:14" ht="12.75" customHeight="1" x14ac:dyDescent="0.2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</row>
    <row r="296" spans="1:14" ht="12.75" customHeight="1" x14ac:dyDescent="0.2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</row>
    <row r="297" spans="1:14" ht="12.75" customHeight="1" x14ac:dyDescent="0.2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</row>
    <row r="298" spans="1:14" ht="12.75" customHeight="1" x14ac:dyDescent="0.2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</row>
    <row r="299" spans="1:14" ht="12.75" customHeight="1" x14ac:dyDescent="0.2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</row>
    <row r="300" spans="1:14" ht="12.75" customHeight="1" x14ac:dyDescent="0.2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</row>
    <row r="301" spans="1:14" ht="12.75" customHeight="1" x14ac:dyDescent="0.2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</row>
    <row r="302" spans="1:14" ht="12.75" customHeight="1" x14ac:dyDescent="0.2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</row>
    <row r="303" spans="1:14" ht="12.75" customHeight="1" x14ac:dyDescent="0.2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</row>
    <row r="304" spans="1:14" ht="12.75" customHeight="1" x14ac:dyDescent="0.2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</row>
    <row r="305" spans="1:14" ht="12.75" customHeight="1" x14ac:dyDescent="0.2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</row>
    <row r="306" spans="1:14" ht="12.75" customHeight="1" x14ac:dyDescent="0.2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</row>
    <row r="307" spans="1:14" ht="12.75" customHeight="1" x14ac:dyDescent="0.2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</row>
    <row r="308" spans="1:14" ht="12.75" customHeight="1" x14ac:dyDescent="0.2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</row>
    <row r="309" spans="1:14" ht="12.75" customHeight="1" x14ac:dyDescent="0.2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</row>
    <row r="310" spans="1:14" ht="12.75" customHeight="1" x14ac:dyDescent="0.2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</row>
    <row r="311" spans="1:14" ht="12.75" customHeight="1" x14ac:dyDescent="0.2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</row>
    <row r="312" spans="1:14" ht="12.75" customHeight="1" x14ac:dyDescent="0.2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</row>
    <row r="313" spans="1:14" ht="12.75" customHeight="1" x14ac:dyDescent="0.2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</row>
    <row r="314" spans="1:14" ht="12.75" customHeight="1" x14ac:dyDescent="0.2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</row>
    <row r="315" spans="1:14" ht="12.75" customHeight="1" x14ac:dyDescent="0.2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</row>
    <row r="316" spans="1:14" ht="12.75" customHeight="1" x14ac:dyDescent="0.2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</row>
    <row r="317" spans="1:14" ht="12.75" customHeight="1" x14ac:dyDescent="0.2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</row>
    <row r="318" spans="1:14" ht="12.75" customHeight="1" x14ac:dyDescent="0.2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</row>
    <row r="319" spans="1:14" ht="12.75" customHeight="1" x14ac:dyDescent="0.2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</row>
    <row r="320" spans="1:14" ht="12.75" customHeight="1" x14ac:dyDescent="0.2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</row>
    <row r="321" spans="1:14" ht="12.75" customHeight="1" x14ac:dyDescent="0.2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</row>
    <row r="322" spans="1:14" ht="12.75" customHeight="1" x14ac:dyDescent="0.2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</row>
    <row r="323" spans="1:14" ht="12.75" customHeight="1" x14ac:dyDescent="0.2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</row>
    <row r="324" spans="1:14" ht="12.75" customHeight="1" x14ac:dyDescent="0.2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</row>
    <row r="325" spans="1:14" ht="12.75" customHeight="1" x14ac:dyDescent="0.2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</row>
    <row r="326" spans="1:14" ht="12.75" customHeight="1" x14ac:dyDescent="0.2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</row>
    <row r="327" spans="1:14" ht="12.75" customHeight="1" x14ac:dyDescent="0.2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</row>
    <row r="328" spans="1:14" ht="12.75" customHeight="1" x14ac:dyDescent="0.2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</row>
    <row r="329" spans="1:14" ht="12.75" customHeight="1" x14ac:dyDescent="0.2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</row>
    <row r="330" spans="1:14" ht="12.75" customHeight="1" x14ac:dyDescent="0.2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</row>
    <row r="331" spans="1:14" ht="12.75" customHeight="1" x14ac:dyDescent="0.2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</row>
    <row r="332" spans="1:14" ht="12.75" customHeight="1" x14ac:dyDescent="0.2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</row>
    <row r="333" spans="1:14" ht="12.75" customHeight="1" x14ac:dyDescent="0.2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</row>
    <row r="334" spans="1:14" ht="12.75" customHeight="1" x14ac:dyDescent="0.2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</row>
    <row r="335" spans="1:14" ht="12.75" customHeight="1" x14ac:dyDescent="0.2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</row>
    <row r="336" spans="1:14" ht="12.75" customHeight="1" x14ac:dyDescent="0.2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</row>
    <row r="337" spans="1:14" ht="12.75" customHeight="1" x14ac:dyDescent="0.2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</row>
    <row r="338" spans="1:14" ht="12.75" customHeight="1" x14ac:dyDescent="0.2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</row>
    <row r="339" spans="1:14" ht="12.75" customHeight="1" x14ac:dyDescent="0.2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</row>
    <row r="340" spans="1:14" ht="12.75" customHeight="1" x14ac:dyDescent="0.2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</row>
    <row r="341" spans="1:14" ht="12.75" customHeight="1" x14ac:dyDescent="0.2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</row>
    <row r="342" spans="1:14" ht="12.75" customHeight="1" x14ac:dyDescent="0.2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</row>
    <row r="343" spans="1:14" ht="12.75" customHeight="1" x14ac:dyDescent="0.2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</row>
    <row r="344" spans="1:14" ht="12.75" customHeight="1" x14ac:dyDescent="0.2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</row>
    <row r="345" spans="1:14" ht="12.75" customHeight="1" x14ac:dyDescent="0.2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</row>
    <row r="346" spans="1:14" ht="12.75" customHeight="1" x14ac:dyDescent="0.2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</row>
    <row r="347" spans="1:14" ht="12.75" customHeight="1" x14ac:dyDescent="0.2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</row>
    <row r="348" spans="1:14" ht="12.75" customHeight="1" x14ac:dyDescent="0.2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</row>
    <row r="349" spans="1:14" ht="12.75" customHeight="1" x14ac:dyDescent="0.2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</row>
    <row r="350" spans="1:14" ht="12.75" customHeight="1" x14ac:dyDescent="0.2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</row>
    <row r="351" spans="1:14" ht="12.75" customHeight="1" x14ac:dyDescent="0.2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</row>
    <row r="352" spans="1:14" ht="12.75" customHeight="1" x14ac:dyDescent="0.2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</row>
    <row r="353" spans="1:14" ht="12.75" customHeight="1" x14ac:dyDescent="0.2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</row>
    <row r="354" spans="1:14" ht="12.75" customHeight="1" x14ac:dyDescent="0.2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</row>
    <row r="355" spans="1:14" ht="12.75" customHeight="1" x14ac:dyDescent="0.2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</row>
    <row r="356" spans="1:14" ht="12.75" customHeight="1" x14ac:dyDescent="0.2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</row>
    <row r="357" spans="1:14" ht="12.75" customHeight="1" x14ac:dyDescent="0.2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</row>
    <row r="358" spans="1:14" ht="12.75" customHeight="1" x14ac:dyDescent="0.2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</row>
    <row r="359" spans="1:14" ht="12.75" customHeight="1" x14ac:dyDescent="0.2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</row>
    <row r="360" spans="1:14" ht="12.75" customHeight="1" x14ac:dyDescent="0.2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</row>
    <row r="361" spans="1:14" ht="12.75" customHeight="1" x14ac:dyDescent="0.2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</row>
    <row r="362" spans="1:14" ht="12.75" customHeight="1" x14ac:dyDescent="0.2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</row>
    <row r="363" spans="1:14" ht="12.75" customHeight="1" x14ac:dyDescent="0.2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</row>
    <row r="364" spans="1:14" ht="12.75" customHeight="1" x14ac:dyDescent="0.2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</row>
    <row r="365" spans="1:14" ht="12.75" customHeight="1" x14ac:dyDescent="0.2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</row>
    <row r="366" spans="1:14" ht="12.75" customHeight="1" x14ac:dyDescent="0.2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</row>
    <row r="367" spans="1:14" ht="12.75" customHeight="1" x14ac:dyDescent="0.2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</row>
    <row r="368" spans="1:14" ht="12.75" customHeight="1" x14ac:dyDescent="0.2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</row>
    <row r="369" spans="1:14" ht="12.75" customHeight="1" x14ac:dyDescent="0.2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</row>
    <row r="370" spans="1:14" ht="12.75" customHeight="1" x14ac:dyDescent="0.2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</row>
    <row r="371" spans="1:14" ht="12.75" customHeight="1" x14ac:dyDescent="0.2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</row>
    <row r="372" spans="1:14" ht="12.75" customHeight="1" x14ac:dyDescent="0.2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</row>
    <row r="373" spans="1:14" ht="12.75" customHeight="1" x14ac:dyDescent="0.2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</row>
    <row r="374" spans="1:14" ht="12.75" customHeight="1" x14ac:dyDescent="0.2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</row>
    <row r="375" spans="1:14" ht="12.75" customHeight="1" x14ac:dyDescent="0.2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</row>
    <row r="376" spans="1:14" ht="12.75" customHeight="1" x14ac:dyDescent="0.2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</row>
    <row r="377" spans="1:14" ht="12.75" customHeight="1" x14ac:dyDescent="0.2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</row>
    <row r="378" spans="1:14" ht="12.75" customHeight="1" x14ac:dyDescent="0.2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</row>
    <row r="379" spans="1:14" ht="12.75" customHeight="1" x14ac:dyDescent="0.2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</row>
    <row r="380" spans="1:14" ht="12.75" customHeight="1" x14ac:dyDescent="0.2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</row>
    <row r="381" spans="1:14" ht="12.75" customHeight="1" x14ac:dyDescent="0.2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</row>
    <row r="382" spans="1:14" ht="12.75" customHeight="1" x14ac:dyDescent="0.2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</row>
    <row r="383" spans="1:14" ht="12.75" customHeight="1" x14ac:dyDescent="0.2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</row>
    <row r="384" spans="1:14" ht="12.75" customHeight="1" x14ac:dyDescent="0.2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</row>
    <row r="385" spans="1:14" ht="12.75" customHeight="1" x14ac:dyDescent="0.2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</row>
    <row r="386" spans="1:14" ht="12.75" customHeight="1" x14ac:dyDescent="0.2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</row>
    <row r="387" spans="1:14" ht="12.75" customHeight="1" x14ac:dyDescent="0.2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</row>
    <row r="388" spans="1:14" ht="12.75" customHeight="1" x14ac:dyDescent="0.2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</row>
    <row r="389" spans="1:14" ht="12.75" customHeight="1" x14ac:dyDescent="0.2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</row>
    <row r="390" spans="1:14" ht="12.75" customHeight="1" x14ac:dyDescent="0.2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</row>
    <row r="391" spans="1:14" ht="12.75" customHeight="1" x14ac:dyDescent="0.2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</row>
    <row r="392" spans="1:14" ht="12.75" customHeight="1" x14ac:dyDescent="0.2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</row>
    <row r="393" spans="1:14" ht="12.75" customHeight="1" x14ac:dyDescent="0.2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</row>
    <row r="394" spans="1:14" ht="12.75" customHeight="1" x14ac:dyDescent="0.2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</row>
    <row r="395" spans="1:14" ht="12.75" customHeight="1" x14ac:dyDescent="0.2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</row>
    <row r="396" spans="1:14" ht="12.75" customHeight="1" x14ac:dyDescent="0.2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</row>
    <row r="397" spans="1:14" ht="12.75" customHeight="1" x14ac:dyDescent="0.2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</row>
    <row r="398" spans="1:14" ht="12.75" customHeight="1" x14ac:dyDescent="0.2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</row>
    <row r="399" spans="1:14" ht="12.75" customHeight="1" x14ac:dyDescent="0.2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</row>
    <row r="400" spans="1:14" ht="12.75" customHeight="1" x14ac:dyDescent="0.2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</row>
    <row r="401" spans="1:14" ht="12.75" customHeight="1" x14ac:dyDescent="0.2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</row>
    <row r="402" spans="1:14" ht="12.75" customHeight="1" x14ac:dyDescent="0.2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</row>
    <row r="403" spans="1:14" ht="12.75" customHeight="1" x14ac:dyDescent="0.2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</row>
    <row r="404" spans="1:14" ht="12.75" customHeight="1" x14ac:dyDescent="0.2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</row>
    <row r="405" spans="1:14" ht="12.75" customHeight="1" x14ac:dyDescent="0.2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</row>
    <row r="406" spans="1:14" ht="12.75" customHeight="1" x14ac:dyDescent="0.2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</row>
    <row r="407" spans="1:14" ht="12.75" customHeight="1" x14ac:dyDescent="0.2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</row>
    <row r="408" spans="1:14" ht="12.75" customHeight="1" x14ac:dyDescent="0.2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</row>
    <row r="409" spans="1:14" ht="12.75" customHeight="1" x14ac:dyDescent="0.2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</row>
    <row r="410" spans="1:14" ht="12.75" customHeight="1" x14ac:dyDescent="0.2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</row>
    <row r="411" spans="1:14" ht="12.75" customHeight="1" x14ac:dyDescent="0.2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</row>
    <row r="412" spans="1:14" ht="12.75" customHeight="1" x14ac:dyDescent="0.2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</row>
    <row r="413" spans="1:14" ht="12.75" customHeight="1" x14ac:dyDescent="0.2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</row>
    <row r="414" spans="1:14" ht="12.75" customHeight="1" x14ac:dyDescent="0.2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</row>
    <row r="415" spans="1:14" ht="12.75" customHeight="1" x14ac:dyDescent="0.2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</row>
    <row r="416" spans="1:14" ht="12.75" customHeight="1" x14ac:dyDescent="0.2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</row>
    <row r="417" spans="1:14" ht="12.75" customHeight="1" x14ac:dyDescent="0.2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</row>
    <row r="418" spans="1:14" ht="12.75" customHeight="1" x14ac:dyDescent="0.2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</row>
    <row r="419" spans="1:14" ht="12.75" customHeight="1" x14ac:dyDescent="0.2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</row>
    <row r="420" spans="1:14" ht="12.75" customHeight="1" x14ac:dyDescent="0.2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</row>
    <row r="421" spans="1:14" ht="12.75" customHeight="1" x14ac:dyDescent="0.2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</row>
    <row r="422" spans="1:14" ht="12.75" customHeight="1" x14ac:dyDescent="0.2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</row>
    <row r="423" spans="1:14" ht="12.75" customHeight="1" x14ac:dyDescent="0.2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</row>
    <row r="424" spans="1:14" ht="12.75" customHeight="1" x14ac:dyDescent="0.2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</row>
    <row r="425" spans="1:14" ht="12.75" customHeight="1" x14ac:dyDescent="0.2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</row>
    <row r="426" spans="1:14" ht="12.75" customHeight="1" x14ac:dyDescent="0.2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</row>
    <row r="427" spans="1:14" ht="12.75" customHeight="1" x14ac:dyDescent="0.2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</row>
    <row r="428" spans="1:14" ht="12.75" customHeight="1" x14ac:dyDescent="0.2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</row>
    <row r="429" spans="1:14" ht="12.75" customHeight="1" x14ac:dyDescent="0.2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</row>
    <row r="430" spans="1:14" ht="12.75" customHeight="1" x14ac:dyDescent="0.2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</row>
    <row r="431" spans="1:14" ht="12.75" customHeight="1" x14ac:dyDescent="0.2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</row>
    <row r="432" spans="1:14" ht="12.75" customHeight="1" x14ac:dyDescent="0.2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</row>
    <row r="433" spans="1:14" ht="12.75" customHeight="1" x14ac:dyDescent="0.2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</row>
    <row r="434" spans="1:14" ht="12.75" customHeight="1" x14ac:dyDescent="0.2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</row>
    <row r="435" spans="1:14" ht="12.75" customHeight="1" x14ac:dyDescent="0.2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</row>
    <row r="436" spans="1:14" ht="12.75" customHeight="1" x14ac:dyDescent="0.2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</row>
    <row r="437" spans="1:14" ht="12.75" customHeight="1" x14ac:dyDescent="0.2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</row>
    <row r="438" spans="1:14" ht="12.75" customHeight="1" x14ac:dyDescent="0.2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</row>
    <row r="439" spans="1:14" ht="12.75" customHeight="1" x14ac:dyDescent="0.2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</row>
    <row r="440" spans="1:14" ht="12.75" customHeight="1" x14ac:dyDescent="0.2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</row>
    <row r="441" spans="1:14" ht="12.75" customHeight="1" x14ac:dyDescent="0.2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</row>
    <row r="442" spans="1:14" ht="12.75" customHeight="1" x14ac:dyDescent="0.2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</row>
    <row r="443" spans="1:14" ht="12.75" customHeight="1" x14ac:dyDescent="0.2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</row>
    <row r="444" spans="1:14" ht="12.75" customHeight="1" x14ac:dyDescent="0.2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</row>
    <row r="445" spans="1:14" ht="12.75" customHeight="1" x14ac:dyDescent="0.2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</row>
    <row r="446" spans="1:14" ht="12.75" customHeight="1" x14ac:dyDescent="0.2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</row>
    <row r="447" spans="1:14" ht="12.75" customHeight="1" x14ac:dyDescent="0.2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</row>
    <row r="448" spans="1:14" ht="12.75" customHeight="1" x14ac:dyDescent="0.2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</row>
    <row r="449" spans="1:14" ht="12.75" customHeight="1" x14ac:dyDescent="0.2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</row>
    <row r="450" spans="1:14" ht="12.75" customHeight="1" x14ac:dyDescent="0.2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</row>
    <row r="451" spans="1:14" ht="12.75" customHeight="1" x14ac:dyDescent="0.2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</row>
    <row r="452" spans="1:14" ht="12.75" customHeight="1" x14ac:dyDescent="0.2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</row>
    <row r="453" spans="1:14" ht="12.75" customHeight="1" x14ac:dyDescent="0.2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</row>
    <row r="454" spans="1:14" ht="12.75" customHeight="1" x14ac:dyDescent="0.2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</row>
    <row r="455" spans="1:14" ht="12.75" customHeight="1" x14ac:dyDescent="0.2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</row>
    <row r="456" spans="1:14" ht="12.75" customHeight="1" x14ac:dyDescent="0.2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</row>
    <row r="457" spans="1:14" ht="12.75" customHeight="1" x14ac:dyDescent="0.2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</row>
    <row r="458" spans="1:14" ht="12.75" customHeight="1" x14ac:dyDescent="0.2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</row>
    <row r="459" spans="1:14" ht="12.75" customHeight="1" x14ac:dyDescent="0.2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</row>
    <row r="460" spans="1:14" ht="12.75" customHeight="1" x14ac:dyDescent="0.2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</row>
    <row r="461" spans="1:14" ht="12.75" customHeight="1" x14ac:dyDescent="0.2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</row>
    <row r="462" spans="1:14" ht="12.75" customHeight="1" x14ac:dyDescent="0.2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</row>
    <row r="463" spans="1:14" ht="12.75" customHeight="1" x14ac:dyDescent="0.2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</row>
    <row r="464" spans="1:14" ht="12.75" customHeight="1" x14ac:dyDescent="0.2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</row>
    <row r="465" spans="1:14" ht="12.75" customHeight="1" x14ac:dyDescent="0.2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</row>
    <row r="466" spans="1:14" ht="12.75" customHeight="1" x14ac:dyDescent="0.2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</row>
    <row r="467" spans="1:14" ht="12.75" customHeight="1" x14ac:dyDescent="0.2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</row>
    <row r="468" spans="1:14" ht="12.75" customHeight="1" x14ac:dyDescent="0.2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</row>
    <row r="469" spans="1:14" ht="12.75" customHeight="1" x14ac:dyDescent="0.2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</row>
    <row r="470" spans="1:14" ht="12.75" customHeight="1" x14ac:dyDescent="0.2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</row>
    <row r="471" spans="1:14" ht="12.75" customHeight="1" x14ac:dyDescent="0.2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</row>
    <row r="472" spans="1:14" ht="12.75" customHeight="1" x14ac:dyDescent="0.2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</row>
    <row r="473" spans="1:14" ht="12.75" customHeight="1" x14ac:dyDescent="0.2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</row>
    <row r="474" spans="1:14" ht="12.75" customHeight="1" x14ac:dyDescent="0.2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</row>
    <row r="475" spans="1:14" ht="12.75" customHeight="1" x14ac:dyDescent="0.2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</row>
    <row r="476" spans="1:14" ht="12.75" customHeight="1" x14ac:dyDescent="0.2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</row>
    <row r="477" spans="1:14" ht="12.75" customHeight="1" x14ac:dyDescent="0.2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</row>
    <row r="478" spans="1:14" ht="12.75" customHeight="1" x14ac:dyDescent="0.2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</row>
    <row r="479" spans="1:14" ht="12.75" customHeight="1" x14ac:dyDescent="0.2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</row>
    <row r="480" spans="1:14" ht="12.75" customHeight="1" x14ac:dyDescent="0.2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</row>
    <row r="481" spans="1:14" ht="12.75" customHeight="1" x14ac:dyDescent="0.2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</row>
    <row r="482" spans="1:14" ht="12.75" customHeight="1" x14ac:dyDescent="0.2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</row>
    <row r="483" spans="1:14" ht="12.75" customHeight="1" x14ac:dyDescent="0.2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</row>
    <row r="484" spans="1:14" ht="12.75" customHeight="1" x14ac:dyDescent="0.2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</row>
    <row r="485" spans="1:14" ht="12.75" customHeight="1" x14ac:dyDescent="0.2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</row>
    <row r="486" spans="1:14" ht="12.75" customHeight="1" x14ac:dyDescent="0.2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</row>
    <row r="487" spans="1:14" ht="12.75" customHeight="1" x14ac:dyDescent="0.2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</row>
    <row r="488" spans="1:14" ht="12.75" customHeight="1" x14ac:dyDescent="0.2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</row>
    <row r="489" spans="1:14" ht="12.75" customHeight="1" x14ac:dyDescent="0.2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</row>
    <row r="490" spans="1:14" ht="12.75" customHeight="1" x14ac:dyDescent="0.2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</row>
    <row r="491" spans="1:14" ht="12.75" customHeight="1" x14ac:dyDescent="0.2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</row>
    <row r="492" spans="1:14" ht="12.75" customHeight="1" x14ac:dyDescent="0.2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</row>
    <row r="493" spans="1:14" ht="12.75" customHeight="1" x14ac:dyDescent="0.2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</row>
    <row r="494" spans="1:14" ht="12.75" customHeight="1" x14ac:dyDescent="0.2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</row>
    <row r="495" spans="1:14" ht="12.75" customHeight="1" x14ac:dyDescent="0.2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</row>
    <row r="496" spans="1:14" ht="12.75" customHeight="1" x14ac:dyDescent="0.2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</row>
    <row r="497" spans="1:14" ht="12.75" customHeight="1" x14ac:dyDescent="0.2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</row>
    <row r="498" spans="1:14" ht="12.75" customHeight="1" x14ac:dyDescent="0.2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</row>
    <row r="499" spans="1:14" ht="12.75" customHeight="1" x14ac:dyDescent="0.2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</row>
    <row r="500" spans="1:14" ht="12.75" customHeight="1" x14ac:dyDescent="0.2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</row>
    <row r="501" spans="1:14" ht="12.75" customHeight="1" x14ac:dyDescent="0.2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</row>
    <row r="502" spans="1:14" ht="12.75" customHeight="1" x14ac:dyDescent="0.2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</row>
    <row r="503" spans="1:14" ht="12.75" customHeight="1" x14ac:dyDescent="0.2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</row>
    <row r="504" spans="1:14" ht="12.75" customHeight="1" x14ac:dyDescent="0.2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</row>
    <row r="505" spans="1:14" ht="12.75" customHeight="1" x14ac:dyDescent="0.2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</row>
    <row r="506" spans="1:14" ht="12.75" customHeight="1" x14ac:dyDescent="0.2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</row>
    <row r="507" spans="1:14" ht="12.75" customHeight="1" x14ac:dyDescent="0.2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</row>
    <row r="508" spans="1:14" ht="12.75" customHeight="1" x14ac:dyDescent="0.2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</row>
    <row r="509" spans="1:14" ht="12.75" customHeight="1" x14ac:dyDescent="0.2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</row>
    <row r="510" spans="1:14" ht="12.75" customHeight="1" x14ac:dyDescent="0.2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</row>
    <row r="511" spans="1:14" ht="12.75" customHeight="1" x14ac:dyDescent="0.2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</row>
    <row r="512" spans="1:14" ht="12.75" customHeight="1" x14ac:dyDescent="0.2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</row>
    <row r="513" spans="1:14" ht="12.75" customHeight="1" x14ac:dyDescent="0.2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</row>
    <row r="514" spans="1:14" ht="12.75" customHeight="1" x14ac:dyDescent="0.2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</row>
    <row r="515" spans="1:14" ht="12.75" customHeight="1" x14ac:dyDescent="0.2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</row>
    <row r="516" spans="1:14" ht="12.75" customHeight="1" x14ac:dyDescent="0.2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</row>
    <row r="517" spans="1:14" ht="12.75" customHeight="1" x14ac:dyDescent="0.2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</row>
    <row r="518" spans="1:14" ht="12.75" customHeight="1" x14ac:dyDescent="0.2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</row>
    <row r="519" spans="1:14" ht="12.75" customHeight="1" x14ac:dyDescent="0.2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</row>
    <row r="520" spans="1:14" ht="12.75" customHeight="1" x14ac:dyDescent="0.2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</row>
    <row r="521" spans="1:14" ht="12.75" customHeight="1" x14ac:dyDescent="0.2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</row>
    <row r="522" spans="1:14" ht="12.75" customHeight="1" x14ac:dyDescent="0.2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</row>
    <row r="523" spans="1:14" ht="12.75" customHeight="1" x14ac:dyDescent="0.2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</row>
    <row r="524" spans="1:14" ht="12.75" customHeight="1" x14ac:dyDescent="0.2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</row>
    <row r="525" spans="1:14" ht="12.75" customHeight="1" x14ac:dyDescent="0.2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</row>
    <row r="526" spans="1:14" ht="12.75" customHeight="1" x14ac:dyDescent="0.2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</row>
    <row r="527" spans="1:14" ht="12.75" customHeight="1" x14ac:dyDescent="0.2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</row>
    <row r="528" spans="1:14" ht="12.75" customHeight="1" x14ac:dyDescent="0.2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</row>
    <row r="529" spans="1:14" ht="12.75" customHeight="1" x14ac:dyDescent="0.2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</row>
    <row r="530" spans="1:14" ht="12.75" customHeight="1" x14ac:dyDescent="0.2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</row>
    <row r="531" spans="1:14" ht="12.75" customHeight="1" x14ac:dyDescent="0.2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</row>
    <row r="532" spans="1:14" ht="12.75" customHeight="1" x14ac:dyDescent="0.2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</row>
    <row r="533" spans="1:14" ht="12.75" customHeight="1" x14ac:dyDescent="0.2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</row>
    <row r="534" spans="1:14" ht="12.75" customHeight="1" x14ac:dyDescent="0.2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</row>
    <row r="535" spans="1:14" ht="12.75" customHeight="1" x14ac:dyDescent="0.2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</row>
    <row r="536" spans="1:14" ht="12.75" customHeight="1" x14ac:dyDescent="0.2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</row>
    <row r="537" spans="1:14" ht="12.75" customHeight="1" x14ac:dyDescent="0.2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</row>
    <row r="538" spans="1:14" ht="12.75" customHeight="1" x14ac:dyDescent="0.2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</row>
    <row r="539" spans="1:14" ht="12.75" customHeight="1" x14ac:dyDescent="0.2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</row>
    <row r="540" spans="1:14" ht="12.75" customHeight="1" x14ac:dyDescent="0.2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</row>
    <row r="541" spans="1:14" ht="12.75" customHeight="1" x14ac:dyDescent="0.2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</row>
    <row r="542" spans="1:14" ht="12.75" customHeight="1" x14ac:dyDescent="0.2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</row>
    <row r="543" spans="1:14" ht="12.75" customHeight="1" x14ac:dyDescent="0.2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</row>
    <row r="544" spans="1:14" ht="12.75" customHeight="1" x14ac:dyDescent="0.2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</row>
    <row r="545" spans="1:14" ht="12.75" customHeight="1" x14ac:dyDescent="0.2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</row>
    <row r="546" spans="1:14" ht="12.75" customHeight="1" x14ac:dyDescent="0.2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</row>
    <row r="547" spans="1:14" ht="12.75" customHeight="1" x14ac:dyDescent="0.2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</row>
    <row r="548" spans="1:14" ht="12.75" customHeight="1" x14ac:dyDescent="0.2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</row>
    <row r="549" spans="1:14" ht="12.75" customHeight="1" x14ac:dyDescent="0.2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</row>
    <row r="550" spans="1:14" ht="12.75" customHeight="1" x14ac:dyDescent="0.2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</row>
    <row r="551" spans="1:14" ht="12.75" customHeight="1" x14ac:dyDescent="0.2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</row>
    <row r="552" spans="1:14" ht="12.75" customHeight="1" x14ac:dyDescent="0.2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</row>
    <row r="553" spans="1:14" ht="12.75" customHeight="1" x14ac:dyDescent="0.2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</row>
    <row r="554" spans="1:14" ht="12.75" customHeight="1" x14ac:dyDescent="0.2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</row>
    <row r="555" spans="1:14" ht="12.75" customHeight="1" x14ac:dyDescent="0.2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</row>
    <row r="556" spans="1:14" ht="12.75" customHeight="1" x14ac:dyDescent="0.2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</row>
    <row r="557" spans="1:14" ht="12.75" customHeight="1" x14ac:dyDescent="0.2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</row>
    <row r="558" spans="1:14" ht="12.75" customHeight="1" x14ac:dyDescent="0.2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</row>
    <row r="559" spans="1:14" ht="12.75" customHeight="1" x14ac:dyDescent="0.2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</row>
    <row r="560" spans="1:14" ht="12.75" customHeight="1" x14ac:dyDescent="0.2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</row>
    <row r="561" spans="1:14" ht="12.75" customHeight="1" x14ac:dyDescent="0.2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</row>
    <row r="562" spans="1:14" ht="12.75" customHeight="1" x14ac:dyDescent="0.2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</row>
    <row r="563" spans="1:14" ht="12.75" customHeight="1" x14ac:dyDescent="0.2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</row>
    <row r="564" spans="1:14" ht="12.75" customHeight="1" x14ac:dyDescent="0.2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</row>
    <row r="565" spans="1:14" ht="12.75" customHeight="1" x14ac:dyDescent="0.2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</row>
    <row r="566" spans="1:14" ht="12.75" customHeight="1" x14ac:dyDescent="0.2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</row>
    <row r="567" spans="1:14" ht="12.75" customHeight="1" x14ac:dyDescent="0.2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</row>
    <row r="568" spans="1:14" ht="12.75" customHeight="1" x14ac:dyDescent="0.2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</row>
    <row r="569" spans="1:14" ht="12.75" customHeight="1" x14ac:dyDescent="0.2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</row>
    <row r="570" spans="1:14" ht="12.75" customHeight="1" x14ac:dyDescent="0.2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</row>
    <row r="571" spans="1:14" ht="12.75" customHeight="1" x14ac:dyDescent="0.2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</row>
    <row r="572" spans="1:14" ht="12.75" customHeight="1" x14ac:dyDescent="0.2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</row>
    <row r="573" spans="1:14" ht="12.75" customHeight="1" x14ac:dyDescent="0.2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</row>
    <row r="574" spans="1:14" ht="12.75" customHeight="1" x14ac:dyDescent="0.2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</row>
    <row r="575" spans="1:14" ht="12.75" customHeight="1" x14ac:dyDescent="0.2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</row>
    <row r="576" spans="1:14" ht="12.75" customHeight="1" x14ac:dyDescent="0.2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</row>
    <row r="577" spans="1:14" ht="12.75" customHeight="1" x14ac:dyDescent="0.2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</row>
    <row r="578" spans="1:14" ht="12.75" customHeight="1" x14ac:dyDescent="0.2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</row>
    <row r="579" spans="1:14" ht="12.75" customHeight="1" x14ac:dyDescent="0.2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</row>
    <row r="580" spans="1:14" ht="12.75" customHeight="1" x14ac:dyDescent="0.2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</row>
    <row r="581" spans="1:14" ht="12.75" customHeight="1" x14ac:dyDescent="0.2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</row>
    <row r="582" spans="1:14" ht="12.75" customHeight="1" x14ac:dyDescent="0.2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</row>
    <row r="583" spans="1:14" ht="12.75" customHeight="1" x14ac:dyDescent="0.2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</row>
    <row r="584" spans="1:14" ht="12.75" customHeight="1" x14ac:dyDescent="0.2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</row>
    <row r="585" spans="1:14" ht="12.75" customHeight="1" x14ac:dyDescent="0.2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</row>
    <row r="586" spans="1:14" ht="12.75" customHeight="1" x14ac:dyDescent="0.2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</row>
    <row r="587" spans="1:14" ht="12.75" customHeight="1" x14ac:dyDescent="0.2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</row>
    <row r="588" spans="1:14" ht="12.75" customHeight="1" x14ac:dyDescent="0.2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</row>
    <row r="589" spans="1:14" ht="12.75" customHeight="1" x14ac:dyDescent="0.2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</row>
    <row r="590" spans="1:14" ht="12.75" customHeight="1" x14ac:dyDescent="0.2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</row>
    <row r="591" spans="1:14" ht="12.75" customHeight="1" x14ac:dyDescent="0.2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</row>
    <row r="592" spans="1:14" ht="12.75" customHeight="1" x14ac:dyDescent="0.2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</row>
    <row r="593" spans="1:14" ht="12.75" customHeight="1" x14ac:dyDescent="0.2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</row>
    <row r="594" spans="1:14" ht="12.75" customHeight="1" x14ac:dyDescent="0.2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</row>
    <row r="595" spans="1:14" ht="12.75" customHeight="1" x14ac:dyDescent="0.2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</row>
    <row r="596" spans="1:14" ht="12.75" customHeight="1" x14ac:dyDescent="0.2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</row>
    <row r="597" spans="1:14" ht="12.75" customHeight="1" x14ac:dyDescent="0.2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</row>
    <row r="598" spans="1:14" ht="12.75" customHeight="1" x14ac:dyDescent="0.2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</row>
    <row r="599" spans="1:14" ht="12.75" customHeight="1" x14ac:dyDescent="0.2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</row>
    <row r="600" spans="1:14" ht="12.75" customHeight="1" x14ac:dyDescent="0.2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</row>
    <row r="601" spans="1:14" ht="12.75" customHeight="1" x14ac:dyDescent="0.2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</row>
    <row r="602" spans="1:14" ht="12.75" customHeight="1" x14ac:dyDescent="0.2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</row>
    <row r="603" spans="1:14" ht="12.75" customHeight="1" x14ac:dyDescent="0.2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</row>
    <row r="604" spans="1:14" ht="12.75" customHeight="1" x14ac:dyDescent="0.2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</row>
    <row r="605" spans="1:14" ht="12.75" customHeight="1" x14ac:dyDescent="0.2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</row>
    <row r="606" spans="1:14" ht="12.75" customHeight="1" x14ac:dyDescent="0.2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</row>
    <row r="607" spans="1:14" ht="12.75" customHeight="1" x14ac:dyDescent="0.2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</row>
    <row r="608" spans="1:14" ht="12.75" customHeight="1" x14ac:dyDescent="0.2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</row>
    <row r="609" spans="1:14" ht="12.75" customHeight="1" x14ac:dyDescent="0.2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</row>
    <row r="610" spans="1:14" ht="12.75" customHeight="1" x14ac:dyDescent="0.2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</row>
    <row r="611" spans="1:14" ht="12.75" customHeight="1" x14ac:dyDescent="0.2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</row>
    <row r="612" spans="1:14" ht="12.75" customHeight="1" x14ac:dyDescent="0.2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</row>
    <row r="613" spans="1:14" ht="12.75" customHeight="1" x14ac:dyDescent="0.2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</row>
    <row r="614" spans="1:14" ht="12.75" customHeight="1" x14ac:dyDescent="0.2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</row>
    <row r="615" spans="1:14" ht="12.75" customHeight="1" x14ac:dyDescent="0.2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</row>
    <row r="616" spans="1:14" ht="12.75" customHeight="1" x14ac:dyDescent="0.2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</row>
    <row r="617" spans="1:14" ht="12.75" customHeight="1" x14ac:dyDescent="0.2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</row>
    <row r="618" spans="1:14" ht="12.75" customHeight="1" x14ac:dyDescent="0.2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</row>
    <row r="619" spans="1:14" ht="12.75" customHeight="1" x14ac:dyDescent="0.2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</row>
    <row r="620" spans="1:14" ht="12.75" customHeight="1" x14ac:dyDescent="0.2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</row>
    <row r="621" spans="1:14" ht="12.75" customHeight="1" x14ac:dyDescent="0.2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</row>
    <row r="622" spans="1:14" ht="12.75" customHeight="1" x14ac:dyDescent="0.2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</row>
    <row r="623" spans="1:14" ht="12.75" customHeight="1" x14ac:dyDescent="0.2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</row>
    <row r="624" spans="1:14" ht="12.75" customHeight="1" x14ac:dyDescent="0.2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</row>
    <row r="625" spans="1:14" ht="12.75" customHeight="1" x14ac:dyDescent="0.2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</row>
    <row r="626" spans="1:14" ht="12.75" customHeight="1" x14ac:dyDescent="0.2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</row>
    <row r="627" spans="1:14" ht="12.75" customHeight="1" x14ac:dyDescent="0.2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</row>
    <row r="628" spans="1:14" ht="12.75" customHeight="1" x14ac:dyDescent="0.2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</row>
    <row r="629" spans="1:14" ht="12.75" customHeight="1" x14ac:dyDescent="0.2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</row>
    <row r="630" spans="1:14" ht="12.75" customHeight="1" x14ac:dyDescent="0.2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</row>
    <row r="631" spans="1:14" ht="12.75" customHeight="1" x14ac:dyDescent="0.2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</row>
    <row r="632" spans="1:14" ht="12.75" customHeight="1" x14ac:dyDescent="0.2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</row>
    <row r="633" spans="1:14" ht="12.75" customHeight="1" x14ac:dyDescent="0.2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</row>
    <row r="634" spans="1:14" ht="12.75" customHeight="1" x14ac:dyDescent="0.2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</row>
    <row r="635" spans="1:14" ht="12.75" customHeight="1" x14ac:dyDescent="0.2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</row>
    <row r="636" spans="1:14" ht="12.75" customHeight="1" x14ac:dyDescent="0.2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</row>
    <row r="637" spans="1:14" ht="12.75" customHeight="1" x14ac:dyDescent="0.2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</row>
    <row r="638" spans="1:14" ht="12.75" customHeight="1" x14ac:dyDescent="0.2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</row>
    <row r="639" spans="1:14" ht="12.75" customHeight="1" x14ac:dyDescent="0.2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</row>
    <row r="640" spans="1:14" ht="12.75" customHeight="1" x14ac:dyDescent="0.2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</row>
    <row r="641" spans="1:14" ht="12.75" customHeight="1" x14ac:dyDescent="0.2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</row>
    <row r="642" spans="1:14" ht="12.75" customHeight="1" x14ac:dyDescent="0.2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</row>
    <row r="643" spans="1:14" ht="12.75" customHeight="1" x14ac:dyDescent="0.2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</row>
    <row r="644" spans="1:14" ht="12.75" customHeight="1" x14ac:dyDescent="0.2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</row>
    <row r="645" spans="1:14" ht="12.75" customHeight="1" x14ac:dyDescent="0.2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</row>
    <row r="646" spans="1:14" ht="12.75" customHeight="1" x14ac:dyDescent="0.2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</row>
    <row r="647" spans="1:14" ht="12.75" customHeight="1" x14ac:dyDescent="0.2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</row>
    <row r="648" spans="1:14" ht="12.75" customHeight="1" x14ac:dyDescent="0.2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</row>
    <row r="649" spans="1:14" ht="12.75" customHeight="1" x14ac:dyDescent="0.2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</row>
    <row r="650" spans="1:14" ht="12.75" customHeight="1" x14ac:dyDescent="0.2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</row>
    <row r="651" spans="1:14" ht="12.75" customHeight="1" x14ac:dyDescent="0.2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</row>
    <row r="652" spans="1:14" ht="12.75" customHeight="1" x14ac:dyDescent="0.2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</row>
    <row r="653" spans="1:14" ht="12.75" customHeight="1" x14ac:dyDescent="0.2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</row>
    <row r="654" spans="1:14" ht="12.75" customHeight="1" x14ac:dyDescent="0.2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</row>
    <row r="655" spans="1:14" ht="12.75" customHeight="1" x14ac:dyDescent="0.2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</row>
    <row r="656" spans="1:14" ht="12.75" customHeight="1" x14ac:dyDescent="0.2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</row>
    <row r="657" spans="1:14" ht="12.75" customHeight="1" x14ac:dyDescent="0.2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</row>
    <row r="658" spans="1:14" ht="12.75" customHeight="1" x14ac:dyDescent="0.2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</row>
    <row r="659" spans="1:14" ht="12.75" customHeight="1" x14ac:dyDescent="0.2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</row>
    <row r="660" spans="1:14" ht="12.75" customHeight="1" x14ac:dyDescent="0.2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</row>
    <row r="661" spans="1:14" ht="12.75" customHeight="1" x14ac:dyDescent="0.2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</row>
    <row r="662" spans="1:14" ht="12.75" customHeight="1" x14ac:dyDescent="0.2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</row>
    <row r="663" spans="1:14" ht="12.75" customHeight="1" x14ac:dyDescent="0.2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</row>
    <row r="664" spans="1:14" ht="12.75" customHeight="1" x14ac:dyDescent="0.2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</row>
    <row r="665" spans="1:14" ht="12.75" customHeight="1" x14ac:dyDescent="0.2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</row>
    <row r="666" spans="1:14" ht="12.75" customHeight="1" x14ac:dyDescent="0.2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</row>
    <row r="667" spans="1:14" ht="12.75" customHeight="1" x14ac:dyDescent="0.2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</row>
    <row r="668" spans="1:14" ht="12.75" customHeight="1" x14ac:dyDescent="0.2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</row>
    <row r="669" spans="1:14" ht="12.75" customHeight="1" x14ac:dyDescent="0.2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</row>
    <row r="670" spans="1:14" ht="12.75" customHeight="1" x14ac:dyDescent="0.2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</row>
    <row r="671" spans="1:14" ht="12.75" customHeight="1" x14ac:dyDescent="0.2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</row>
    <row r="672" spans="1:14" ht="12.75" customHeight="1" x14ac:dyDescent="0.2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</row>
    <row r="673" spans="1:14" ht="12.75" customHeight="1" x14ac:dyDescent="0.2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</row>
    <row r="674" spans="1:14" ht="12.75" customHeight="1" x14ac:dyDescent="0.2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</row>
    <row r="675" spans="1:14" ht="12.75" customHeight="1" x14ac:dyDescent="0.2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</row>
    <row r="676" spans="1:14" ht="12.75" customHeight="1" x14ac:dyDescent="0.2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</row>
    <row r="677" spans="1:14" ht="12.75" customHeight="1" x14ac:dyDescent="0.2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</row>
    <row r="678" spans="1:14" ht="12.75" customHeight="1" x14ac:dyDescent="0.2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</row>
    <row r="679" spans="1:14" ht="12.75" customHeight="1" x14ac:dyDescent="0.2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</row>
    <row r="680" spans="1:14" ht="12.75" customHeight="1" x14ac:dyDescent="0.2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</row>
    <row r="681" spans="1:14" ht="12.75" customHeight="1" x14ac:dyDescent="0.2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</row>
    <row r="682" spans="1:14" ht="12.75" customHeight="1" x14ac:dyDescent="0.2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</row>
    <row r="683" spans="1:14" ht="12.75" customHeight="1" x14ac:dyDescent="0.2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</row>
    <row r="684" spans="1:14" ht="12.75" customHeight="1" x14ac:dyDescent="0.2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</row>
    <row r="685" spans="1:14" ht="12.75" customHeight="1" x14ac:dyDescent="0.2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</row>
    <row r="686" spans="1:14" ht="12.75" customHeight="1" x14ac:dyDescent="0.2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</row>
    <row r="687" spans="1:14" ht="12.75" customHeight="1" x14ac:dyDescent="0.2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</row>
    <row r="688" spans="1:14" ht="12.75" customHeight="1" x14ac:dyDescent="0.2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</row>
    <row r="689" spans="1:14" ht="12.75" customHeight="1" x14ac:dyDescent="0.2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</row>
    <row r="690" spans="1:14" ht="12.75" customHeight="1" x14ac:dyDescent="0.2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</row>
    <row r="691" spans="1:14" ht="12.75" customHeight="1" x14ac:dyDescent="0.2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</row>
    <row r="692" spans="1:14" ht="12.75" customHeight="1" x14ac:dyDescent="0.2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</row>
    <row r="693" spans="1:14" ht="12.75" customHeight="1" x14ac:dyDescent="0.2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</row>
    <row r="694" spans="1:14" ht="12.75" customHeight="1" x14ac:dyDescent="0.2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</row>
    <row r="695" spans="1:14" ht="12.75" customHeight="1" x14ac:dyDescent="0.2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</row>
    <row r="696" spans="1:14" ht="12.75" customHeight="1" x14ac:dyDescent="0.2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</row>
    <row r="697" spans="1:14" ht="12.75" customHeight="1" x14ac:dyDescent="0.2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</row>
    <row r="698" spans="1:14" ht="12.75" customHeight="1" x14ac:dyDescent="0.2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</row>
    <row r="699" spans="1:14" ht="12.75" customHeight="1" x14ac:dyDescent="0.2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</row>
    <row r="700" spans="1:14" ht="12.75" customHeight="1" x14ac:dyDescent="0.2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</row>
    <row r="701" spans="1:14" ht="12.75" customHeight="1" x14ac:dyDescent="0.2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</row>
    <row r="702" spans="1:14" ht="12.75" customHeight="1" x14ac:dyDescent="0.2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</row>
    <row r="703" spans="1:14" ht="12.75" customHeight="1" x14ac:dyDescent="0.2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</row>
    <row r="704" spans="1:14" ht="12.75" customHeight="1" x14ac:dyDescent="0.2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</row>
    <row r="705" spans="1:14" ht="12.75" customHeight="1" x14ac:dyDescent="0.2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</row>
    <row r="706" spans="1:14" ht="12.75" customHeight="1" x14ac:dyDescent="0.2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</row>
    <row r="707" spans="1:14" ht="12.75" customHeight="1" x14ac:dyDescent="0.2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</row>
    <row r="708" spans="1:14" ht="12.75" customHeight="1" x14ac:dyDescent="0.2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</row>
    <row r="709" spans="1:14" ht="12.75" customHeight="1" x14ac:dyDescent="0.2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</row>
    <row r="710" spans="1:14" ht="12.75" customHeight="1" x14ac:dyDescent="0.2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</row>
    <row r="711" spans="1:14" ht="12.75" customHeight="1" x14ac:dyDescent="0.2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</row>
    <row r="712" spans="1:14" ht="12.75" customHeight="1" x14ac:dyDescent="0.2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</row>
    <row r="713" spans="1:14" ht="12.75" customHeight="1" x14ac:dyDescent="0.2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</row>
    <row r="714" spans="1:14" ht="12.75" customHeight="1" x14ac:dyDescent="0.2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</row>
    <row r="715" spans="1:14" ht="12.75" customHeight="1" x14ac:dyDescent="0.2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</row>
    <row r="716" spans="1:14" ht="12.75" customHeight="1" x14ac:dyDescent="0.2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</row>
    <row r="717" spans="1:14" ht="12.75" customHeight="1" x14ac:dyDescent="0.2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</row>
    <row r="718" spans="1:14" ht="12.75" customHeight="1" x14ac:dyDescent="0.2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</row>
    <row r="719" spans="1:14" ht="12.75" customHeight="1" x14ac:dyDescent="0.2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</row>
    <row r="720" spans="1:14" ht="12.75" customHeight="1" x14ac:dyDescent="0.2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</row>
    <row r="721" spans="1:14" ht="12.75" customHeight="1" x14ac:dyDescent="0.2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</row>
    <row r="722" spans="1:14" ht="12.75" customHeight="1" x14ac:dyDescent="0.2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</row>
    <row r="723" spans="1:14" ht="12.75" customHeight="1" x14ac:dyDescent="0.2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</row>
    <row r="724" spans="1:14" ht="12.75" customHeight="1" x14ac:dyDescent="0.2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</row>
    <row r="725" spans="1:14" ht="12.75" customHeight="1" x14ac:dyDescent="0.2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</row>
    <row r="726" spans="1:14" ht="12.75" customHeight="1" x14ac:dyDescent="0.2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</row>
    <row r="727" spans="1:14" ht="12.75" customHeight="1" x14ac:dyDescent="0.2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</row>
    <row r="728" spans="1:14" ht="12.75" customHeight="1" x14ac:dyDescent="0.2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</row>
    <row r="729" spans="1:14" ht="12.75" customHeight="1" x14ac:dyDescent="0.2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</row>
    <row r="730" spans="1:14" ht="12.75" customHeight="1" x14ac:dyDescent="0.2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</row>
    <row r="731" spans="1:14" ht="12.75" customHeight="1" x14ac:dyDescent="0.2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</row>
    <row r="732" spans="1:14" ht="12.75" customHeight="1" x14ac:dyDescent="0.2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</row>
    <row r="733" spans="1:14" ht="12.75" customHeight="1" x14ac:dyDescent="0.2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</row>
    <row r="734" spans="1:14" ht="12.75" customHeight="1" x14ac:dyDescent="0.2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</row>
    <row r="735" spans="1:14" ht="12.75" customHeight="1" x14ac:dyDescent="0.2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</row>
    <row r="736" spans="1:14" ht="12.75" customHeight="1" x14ac:dyDescent="0.2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</row>
    <row r="737" spans="1:14" ht="12.75" customHeight="1" x14ac:dyDescent="0.2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</row>
    <row r="738" spans="1:14" ht="12.75" customHeight="1" x14ac:dyDescent="0.2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</row>
    <row r="739" spans="1:14" ht="12.75" customHeight="1" x14ac:dyDescent="0.2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</row>
    <row r="740" spans="1:14" ht="12.75" customHeight="1" x14ac:dyDescent="0.2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</row>
    <row r="741" spans="1:14" ht="12.75" customHeight="1" x14ac:dyDescent="0.2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</row>
    <row r="742" spans="1:14" ht="12.75" customHeight="1" x14ac:dyDescent="0.2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</row>
    <row r="743" spans="1:14" ht="12.75" customHeight="1" x14ac:dyDescent="0.2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</row>
    <row r="744" spans="1:14" ht="12.75" customHeight="1" x14ac:dyDescent="0.2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</row>
    <row r="745" spans="1:14" ht="12.75" customHeight="1" x14ac:dyDescent="0.2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</row>
    <row r="746" spans="1:14" ht="12.75" customHeight="1" x14ac:dyDescent="0.2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</row>
    <row r="747" spans="1:14" ht="12.75" customHeight="1" x14ac:dyDescent="0.2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</row>
    <row r="748" spans="1:14" ht="12.75" customHeight="1" x14ac:dyDescent="0.2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</row>
    <row r="749" spans="1:14" ht="12.75" customHeight="1" x14ac:dyDescent="0.2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</row>
    <row r="750" spans="1:14" ht="12.75" customHeight="1" x14ac:dyDescent="0.2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</row>
    <row r="751" spans="1:14" ht="12.75" customHeight="1" x14ac:dyDescent="0.2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</row>
    <row r="752" spans="1:14" ht="12.75" customHeight="1" x14ac:dyDescent="0.2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</row>
    <row r="753" spans="1:14" ht="12.75" customHeight="1" x14ac:dyDescent="0.2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</row>
    <row r="754" spans="1:14" ht="12.75" customHeight="1" x14ac:dyDescent="0.2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</row>
    <row r="755" spans="1:14" ht="12.75" customHeight="1" x14ac:dyDescent="0.2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</row>
    <row r="756" spans="1:14" ht="12.75" customHeight="1" x14ac:dyDescent="0.2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</row>
    <row r="757" spans="1:14" ht="12.75" customHeight="1" x14ac:dyDescent="0.2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</row>
    <row r="758" spans="1:14" ht="12.75" customHeight="1" x14ac:dyDescent="0.2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</row>
    <row r="759" spans="1:14" ht="12.75" customHeight="1" x14ac:dyDescent="0.2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</row>
    <row r="760" spans="1:14" ht="12.75" customHeight="1" x14ac:dyDescent="0.2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</row>
    <row r="761" spans="1:14" ht="12.75" customHeight="1" x14ac:dyDescent="0.2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</row>
    <row r="762" spans="1:14" ht="12.75" customHeight="1" x14ac:dyDescent="0.2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</row>
    <row r="763" spans="1:14" ht="12.75" customHeight="1" x14ac:dyDescent="0.2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</row>
    <row r="764" spans="1:14" ht="12.75" customHeight="1" x14ac:dyDescent="0.2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</row>
    <row r="765" spans="1:14" ht="12.75" customHeight="1" x14ac:dyDescent="0.2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</row>
    <row r="766" spans="1:14" ht="12.75" customHeight="1" x14ac:dyDescent="0.2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</row>
    <row r="767" spans="1:14" ht="12.75" customHeight="1" x14ac:dyDescent="0.2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</row>
    <row r="768" spans="1:14" ht="12.75" customHeight="1" x14ac:dyDescent="0.2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</row>
    <row r="769" spans="1:14" ht="12.75" customHeight="1" x14ac:dyDescent="0.2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</row>
    <row r="770" spans="1:14" ht="12.75" customHeight="1" x14ac:dyDescent="0.2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</row>
    <row r="771" spans="1:14" ht="12.75" customHeight="1" x14ac:dyDescent="0.2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</row>
    <row r="772" spans="1:14" ht="12.75" customHeight="1" x14ac:dyDescent="0.2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</row>
    <row r="773" spans="1:14" ht="12.75" customHeight="1" x14ac:dyDescent="0.2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</row>
    <row r="774" spans="1:14" ht="12.75" customHeight="1" x14ac:dyDescent="0.2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</row>
    <row r="775" spans="1:14" ht="12.75" customHeight="1" x14ac:dyDescent="0.2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</row>
    <row r="776" spans="1:14" ht="12.75" customHeight="1" x14ac:dyDescent="0.2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</row>
    <row r="777" spans="1:14" ht="12.75" customHeight="1" x14ac:dyDescent="0.2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</row>
    <row r="778" spans="1:14" ht="12.75" customHeight="1" x14ac:dyDescent="0.2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</row>
    <row r="779" spans="1:14" ht="12.75" customHeight="1" x14ac:dyDescent="0.2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</row>
    <row r="780" spans="1:14" ht="12.75" customHeight="1" x14ac:dyDescent="0.2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</row>
    <row r="781" spans="1:14" ht="12.75" customHeight="1" x14ac:dyDescent="0.2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</row>
    <row r="782" spans="1:14" ht="12.75" customHeight="1" x14ac:dyDescent="0.2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</row>
    <row r="783" spans="1:14" ht="12.75" customHeight="1" x14ac:dyDescent="0.2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</row>
    <row r="784" spans="1:14" ht="12.75" customHeight="1" x14ac:dyDescent="0.2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</row>
    <row r="785" spans="1:14" ht="12.75" customHeight="1" x14ac:dyDescent="0.2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</row>
    <row r="786" spans="1:14" ht="12.75" customHeight="1" x14ac:dyDescent="0.2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</row>
    <row r="787" spans="1:14" ht="12.75" customHeight="1" x14ac:dyDescent="0.2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</row>
    <row r="788" spans="1:14" ht="12.75" customHeight="1" x14ac:dyDescent="0.2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</row>
    <row r="789" spans="1:14" ht="12.75" customHeight="1" x14ac:dyDescent="0.2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</row>
    <row r="790" spans="1:14" ht="12.75" customHeight="1" x14ac:dyDescent="0.2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</row>
    <row r="791" spans="1:14" ht="12.75" customHeight="1" x14ac:dyDescent="0.2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</row>
    <row r="792" spans="1:14" ht="12.75" customHeight="1" x14ac:dyDescent="0.2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</row>
    <row r="793" spans="1:14" ht="12.75" customHeight="1" x14ac:dyDescent="0.2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</row>
    <row r="794" spans="1:14" ht="12.75" customHeight="1" x14ac:dyDescent="0.2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</row>
    <row r="795" spans="1:14" ht="12.75" customHeight="1" x14ac:dyDescent="0.2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</row>
    <row r="796" spans="1:14" ht="12.75" customHeight="1" x14ac:dyDescent="0.2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</row>
    <row r="797" spans="1:14" ht="12.75" customHeight="1" x14ac:dyDescent="0.2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</row>
    <row r="798" spans="1:14" ht="12.75" customHeight="1" x14ac:dyDescent="0.2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</row>
    <row r="799" spans="1:14" ht="12.75" customHeight="1" x14ac:dyDescent="0.2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</row>
    <row r="800" spans="1:14" ht="12.75" customHeight="1" x14ac:dyDescent="0.2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</row>
    <row r="801" spans="1:14" ht="12.75" customHeight="1" x14ac:dyDescent="0.2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</row>
    <row r="802" spans="1:14" ht="12.75" customHeight="1" x14ac:dyDescent="0.2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</row>
    <row r="803" spans="1:14" ht="12.75" customHeight="1" x14ac:dyDescent="0.2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</row>
    <row r="804" spans="1:14" ht="12.75" customHeight="1" x14ac:dyDescent="0.2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</row>
    <row r="805" spans="1:14" ht="12.75" customHeight="1" x14ac:dyDescent="0.2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</row>
    <row r="806" spans="1:14" ht="12.75" customHeight="1" x14ac:dyDescent="0.2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</row>
    <row r="807" spans="1:14" ht="12.75" customHeight="1" x14ac:dyDescent="0.2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</row>
    <row r="808" spans="1:14" ht="12.75" customHeight="1" x14ac:dyDescent="0.2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</row>
    <row r="809" spans="1:14" ht="12.75" customHeight="1" x14ac:dyDescent="0.2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</row>
    <row r="810" spans="1:14" ht="12.75" customHeight="1" x14ac:dyDescent="0.2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</row>
    <row r="811" spans="1:14" ht="12.75" customHeight="1" x14ac:dyDescent="0.2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</row>
    <row r="812" spans="1:14" ht="12.75" customHeight="1" x14ac:dyDescent="0.2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</row>
    <row r="813" spans="1:14" ht="12.75" customHeight="1" x14ac:dyDescent="0.2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</row>
    <row r="814" spans="1:14" ht="12.75" customHeight="1" x14ac:dyDescent="0.2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</row>
    <row r="815" spans="1:14" ht="12.75" customHeight="1" x14ac:dyDescent="0.2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</row>
    <row r="816" spans="1:14" ht="12.75" customHeight="1" x14ac:dyDescent="0.2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</row>
    <row r="817" spans="1:14" ht="12.75" customHeight="1" x14ac:dyDescent="0.2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</row>
    <row r="818" spans="1:14" ht="12.75" customHeight="1" x14ac:dyDescent="0.2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</row>
    <row r="819" spans="1:14" ht="12.75" customHeight="1" x14ac:dyDescent="0.2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</row>
    <row r="820" spans="1:14" ht="12.75" customHeight="1" x14ac:dyDescent="0.2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</row>
    <row r="821" spans="1:14" ht="12.75" customHeight="1" x14ac:dyDescent="0.2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</row>
    <row r="822" spans="1:14" ht="12.75" customHeight="1" x14ac:dyDescent="0.2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</row>
    <row r="823" spans="1:14" ht="12.75" customHeight="1" x14ac:dyDescent="0.2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</row>
    <row r="824" spans="1:14" ht="12.75" customHeight="1" x14ac:dyDescent="0.2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</row>
    <row r="825" spans="1:14" ht="12.75" customHeight="1" x14ac:dyDescent="0.2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</row>
    <row r="826" spans="1:14" ht="12.75" customHeight="1" x14ac:dyDescent="0.2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</row>
    <row r="827" spans="1:14" ht="12.75" customHeight="1" x14ac:dyDescent="0.2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</row>
    <row r="828" spans="1:14" ht="12.75" customHeight="1" x14ac:dyDescent="0.2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</row>
    <row r="829" spans="1:14" ht="12.75" customHeight="1" x14ac:dyDescent="0.2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</row>
    <row r="830" spans="1:14" ht="12.75" customHeight="1" x14ac:dyDescent="0.2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</row>
    <row r="831" spans="1:14" ht="12.75" customHeight="1" x14ac:dyDescent="0.2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</row>
    <row r="832" spans="1:14" ht="12.75" customHeight="1" x14ac:dyDescent="0.2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</row>
    <row r="833" spans="1:14" ht="12.75" customHeight="1" x14ac:dyDescent="0.2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</row>
    <row r="834" spans="1:14" ht="12.75" customHeight="1" x14ac:dyDescent="0.2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</row>
    <row r="835" spans="1:14" ht="12.75" customHeight="1" x14ac:dyDescent="0.2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</row>
    <row r="836" spans="1:14" ht="12.75" customHeight="1" x14ac:dyDescent="0.2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</row>
    <row r="837" spans="1:14" ht="12.75" customHeight="1" x14ac:dyDescent="0.2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</row>
    <row r="838" spans="1:14" ht="12.75" customHeight="1" x14ac:dyDescent="0.2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</row>
    <row r="839" spans="1:14" ht="12.75" customHeight="1" x14ac:dyDescent="0.2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</row>
    <row r="840" spans="1:14" ht="12.75" customHeight="1" x14ac:dyDescent="0.2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</row>
    <row r="841" spans="1:14" ht="12.75" customHeight="1" x14ac:dyDescent="0.2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</row>
    <row r="842" spans="1:14" ht="12.75" customHeight="1" x14ac:dyDescent="0.2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</row>
    <row r="843" spans="1:14" ht="12.75" customHeight="1" x14ac:dyDescent="0.2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</row>
    <row r="844" spans="1:14" ht="12.75" customHeight="1" x14ac:dyDescent="0.2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</row>
    <row r="845" spans="1:14" ht="12.75" customHeight="1" x14ac:dyDescent="0.2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</row>
    <row r="846" spans="1:14" ht="12.75" customHeight="1" x14ac:dyDescent="0.2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</row>
    <row r="847" spans="1:14" ht="12.75" customHeight="1" x14ac:dyDescent="0.2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</row>
    <row r="848" spans="1:14" ht="12.75" customHeight="1" x14ac:dyDescent="0.2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</row>
    <row r="849" spans="1:14" ht="12.75" customHeight="1" x14ac:dyDescent="0.2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</row>
    <row r="850" spans="1:14" ht="12.75" customHeight="1" x14ac:dyDescent="0.2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</row>
    <row r="851" spans="1:14" ht="12.75" customHeight="1" x14ac:dyDescent="0.2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</row>
    <row r="852" spans="1:14" ht="12.75" customHeight="1" x14ac:dyDescent="0.2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</row>
    <row r="853" spans="1:14" ht="12.75" customHeight="1" x14ac:dyDescent="0.2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</row>
    <row r="854" spans="1:14" ht="12.75" customHeight="1" x14ac:dyDescent="0.2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</row>
    <row r="855" spans="1:14" ht="12.75" customHeight="1" x14ac:dyDescent="0.2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</row>
    <row r="856" spans="1:14" ht="12.75" customHeight="1" x14ac:dyDescent="0.2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</row>
    <row r="857" spans="1:14" ht="12.75" customHeight="1" x14ac:dyDescent="0.2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</row>
    <row r="858" spans="1:14" ht="12.75" customHeight="1" x14ac:dyDescent="0.2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</row>
    <row r="859" spans="1:14" ht="12.75" customHeight="1" x14ac:dyDescent="0.2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</row>
    <row r="860" spans="1:14" ht="12.75" customHeight="1" x14ac:dyDescent="0.2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</row>
    <row r="861" spans="1:14" ht="12.75" customHeight="1" x14ac:dyDescent="0.2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</row>
    <row r="862" spans="1:14" ht="12.75" customHeight="1" x14ac:dyDescent="0.2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</row>
    <row r="863" spans="1:14" ht="12.75" customHeight="1" x14ac:dyDescent="0.2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</row>
    <row r="864" spans="1:14" ht="12.75" customHeight="1" x14ac:dyDescent="0.2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</row>
    <row r="865" spans="1:14" ht="12.75" customHeight="1" x14ac:dyDescent="0.2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</row>
    <row r="866" spans="1:14" ht="12.75" customHeight="1" x14ac:dyDescent="0.2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</row>
    <row r="867" spans="1:14" ht="12.75" customHeight="1" x14ac:dyDescent="0.2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</row>
    <row r="868" spans="1:14" ht="12.75" customHeight="1" x14ac:dyDescent="0.2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</row>
    <row r="869" spans="1:14" ht="12.75" customHeight="1" x14ac:dyDescent="0.2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</row>
    <row r="870" spans="1:14" ht="12.75" customHeight="1" x14ac:dyDescent="0.2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</row>
    <row r="871" spans="1:14" ht="12.75" customHeight="1" x14ac:dyDescent="0.2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</row>
    <row r="872" spans="1:14" ht="12.75" customHeight="1" x14ac:dyDescent="0.2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</row>
    <row r="873" spans="1:14" ht="12.75" customHeight="1" x14ac:dyDescent="0.2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</row>
    <row r="874" spans="1:14" ht="12.75" customHeight="1" x14ac:dyDescent="0.2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</row>
    <row r="875" spans="1:14" ht="12.75" customHeight="1" x14ac:dyDescent="0.2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</row>
    <row r="876" spans="1:14" ht="12.75" customHeight="1" x14ac:dyDescent="0.2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</row>
    <row r="877" spans="1:14" ht="12.75" customHeight="1" x14ac:dyDescent="0.2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</row>
    <row r="878" spans="1:14" ht="12.75" customHeight="1" x14ac:dyDescent="0.2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</row>
    <row r="879" spans="1:14" ht="12.75" customHeight="1" x14ac:dyDescent="0.2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</row>
    <row r="880" spans="1:14" ht="12.75" customHeight="1" x14ac:dyDescent="0.2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</row>
    <row r="881" spans="1:14" ht="12.75" customHeight="1" x14ac:dyDescent="0.2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</row>
    <row r="882" spans="1:14" ht="12.75" customHeight="1" x14ac:dyDescent="0.2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</row>
    <row r="883" spans="1:14" ht="12.75" customHeight="1" x14ac:dyDescent="0.2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</row>
    <row r="884" spans="1:14" ht="12.75" customHeight="1" x14ac:dyDescent="0.2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</row>
    <row r="885" spans="1:14" ht="12.75" customHeight="1" x14ac:dyDescent="0.2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</row>
    <row r="886" spans="1:14" ht="12.75" customHeight="1" x14ac:dyDescent="0.2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</row>
    <row r="887" spans="1:14" ht="12.75" customHeight="1" x14ac:dyDescent="0.2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</row>
    <row r="888" spans="1:14" ht="12.75" customHeight="1" x14ac:dyDescent="0.2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</row>
    <row r="889" spans="1:14" ht="12.75" customHeight="1" x14ac:dyDescent="0.2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</row>
    <row r="890" spans="1:14" ht="12.75" customHeight="1" x14ac:dyDescent="0.2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</row>
    <row r="891" spans="1:14" ht="12.75" customHeight="1" x14ac:dyDescent="0.2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</row>
    <row r="892" spans="1:14" ht="12.75" customHeight="1" x14ac:dyDescent="0.2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</row>
    <row r="893" spans="1:14" ht="12.75" customHeight="1" x14ac:dyDescent="0.2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</row>
    <row r="894" spans="1:14" ht="12.75" customHeight="1" x14ac:dyDescent="0.2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</row>
    <row r="895" spans="1:14" ht="12.75" customHeight="1" x14ac:dyDescent="0.2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</row>
    <row r="896" spans="1:14" ht="12.75" customHeight="1" x14ac:dyDescent="0.2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</row>
    <row r="897" spans="1:14" ht="12.75" customHeight="1" x14ac:dyDescent="0.2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</row>
    <row r="898" spans="1:14" ht="12.75" customHeight="1" x14ac:dyDescent="0.2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</row>
    <row r="899" spans="1:14" ht="12.75" customHeight="1" x14ac:dyDescent="0.2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</row>
    <row r="900" spans="1:14" ht="12.75" customHeight="1" x14ac:dyDescent="0.2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</row>
    <row r="901" spans="1:14" ht="12.75" customHeight="1" x14ac:dyDescent="0.2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</row>
    <row r="902" spans="1:14" ht="12.75" customHeight="1" x14ac:dyDescent="0.2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</row>
    <row r="903" spans="1:14" ht="12.75" customHeight="1" x14ac:dyDescent="0.2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</row>
    <row r="904" spans="1:14" ht="12.75" customHeight="1" x14ac:dyDescent="0.2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</row>
    <row r="905" spans="1:14" ht="12.75" customHeight="1" x14ac:dyDescent="0.2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</row>
    <row r="906" spans="1:14" ht="12.75" customHeight="1" x14ac:dyDescent="0.2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</row>
    <row r="907" spans="1:14" ht="12.75" customHeight="1" x14ac:dyDescent="0.2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</row>
    <row r="908" spans="1:14" ht="12.75" customHeight="1" x14ac:dyDescent="0.2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</row>
    <row r="909" spans="1:14" ht="12.75" customHeight="1" x14ac:dyDescent="0.2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</row>
    <row r="910" spans="1:14" ht="12.75" customHeight="1" x14ac:dyDescent="0.2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</row>
    <row r="911" spans="1:14" ht="12.75" customHeight="1" x14ac:dyDescent="0.2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</row>
    <row r="912" spans="1:14" ht="12.75" customHeight="1" x14ac:dyDescent="0.2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</row>
    <row r="913" spans="1:14" ht="12.75" customHeight="1" x14ac:dyDescent="0.2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</row>
    <row r="914" spans="1:14" ht="12.75" customHeight="1" x14ac:dyDescent="0.2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</row>
    <row r="915" spans="1:14" ht="12.75" customHeight="1" x14ac:dyDescent="0.2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</row>
    <row r="916" spans="1:14" ht="12.75" customHeight="1" x14ac:dyDescent="0.2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</row>
    <row r="917" spans="1:14" ht="12.75" customHeight="1" x14ac:dyDescent="0.2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</row>
    <row r="918" spans="1:14" ht="12.75" customHeight="1" x14ac:dyDescent="0.2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</row>
    <row r="919" spans="1:14" ht="12.75" customHeight="1" x14ac:dyDescent="0.2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</row>
    <row r="920" spans="1:14" ht="12.75" customHeight="1" x14ac:dyDescent="0.2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</row>
    <row r="921" spans="1:14" ht="12.75" customHeight="1" x14ac:dyDescent="0.2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</row>
    <row r="922" spans="1:14" ht="12.75" customHeight="1" x14ac:dyDescent="0.2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</row>
    <row r="923" spans="1:14" ht="12.75" customHeight="1" x14ac:dyDescent="0.2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</row>
    <row r="924" spans="1:14" ht="12.75" customHeight="1" x14ac:dyDescent="0.2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</row>
    <row r="925" spans="1:14" ht="12.75" customHeight="1" x14ac:dyDescent="0.2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</row>
    <row r="926" spans="1:14" ht="12.75" customHeight="1" x14ac:dyDescent="0.2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</row>
    <row r="927" spans="1:14" ht="12.75" customHeight="1" x14ac:dyDescent="0.2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</row>
    <row r="928" spans="1:14" ht="12.75" customHeight="1" x14ac:dyDescent="0.2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</row>
    <row r="929" spans="1:14" ht="12.75" customHeight="1" x14ac:dyDescent="0.2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</row>
    <row r="930" spans="1:14" ht="12.75" customHeight="1" x14ac:dyDescent="0.2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</row>
    <row r="931" spans="1:14" ht="12.75" customHeight="1" x14ac:dyDescent="0.2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</row>
    <row r="932" spans="1:14" ht="12.75" customHeight="1" x14ac:dyDescent="0.2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</row>
    <row r="933" spans="1:14" ht="12.75" customHeight="1" x14ac:dyDescent="0.2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</row>
    <row r="934" spans="1:14" ht="12.75" customHeight="1" x14ac:dyDescent="0.2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</row>
    <row r="935" spans="1:14" ht="12.75" customHeight="1" x14ac:dyDescent="0.2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</row>
    <row r="936" spans="1:14" ht="12.75" customHeight="1" x14ac:dyDescent="0.2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</row>
    <row r="937" spans="1:14" ht="12.75" customHeight="1" x14ac:dyDescent="0.2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</row>
    <row r="938" spans="1:14" ht="12.75" customHeight="1" x14ac:dyDescent="0.2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</row>
    <row r="939" spans="1:14" ht="12.75" customHeight="1" x14ac:dyDescent="0.2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</row>
    <row r="940" spans="1:14" ht="12.75" customHeight="1" x14ac:dyDescent="0.2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</row>
    <row r="941" spans="1:14" ht="12.75" customHeight="1" x14ac:dyDescent="0.2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</row>
    <row r="942" spans="1:14" ht="12.75" customHeight="1" x14ac:dyDescent="0.2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</row>
    <row r="943" spans="1:14" ht="12.75" customHeight="1" x14ac:dyDescent="0.2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</row>
    <row r="944" spans="1:14" ht="12.75" customHeight="1" x14ac:dyDescent="0.2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</row>
    <row r="945" spans="1:14" ht="12.75" customHeight="1" x14ac:dyDescent="0.2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</row>
    <row r="946" spans="1:14" ht="12.75" customHeight="1" x14ac:dyDescent="0.2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</row>
    <row r="947" spans="1:14" ht="12.75" customHeight="1" x14ac:dyDescent="0.2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</row>
    <row r="948" spans="1:14" ht="12.75" customHeight="1" x14ac:dyDescent="0.2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</row>
    <row r="949" spans="1:14" ht="12.75" customHeight="1" x14ac:dyDescent="0.2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</row>
    <row r="950" spans="1:14" ht="12.75" customHeight="1" x14ac:dyDescent="0.2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</row>
    <row r="951" spans="1:14" ht="12.75" customHeight="1" x14ac:dyDescent="0.2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</row>
    <row r="952" spans="1:14" ht="12.75" customHeight="1" x14ac:dyDescent="0.2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</row>
    <row r="953" spans="1:14" ht="12.75" customHeight="1" x14ac:dyDescent="0.2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</row>
    <row r="954" spans="1:14" ht="12.75" customHeight="1" x14ac:dyDescent="0.2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</row>
    <row r="955" spans="1:14" ht="12.75" customHeight="1" x14ac:dyDescent="0.2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</row>
    <row r="956" spans="1:14" ht="12.75" customHeight="1" x14ac:dyDescent="0.2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</row>
    <row r="957" spans="1:14" ht="12.75" customHeight="1" x14ac:dyDescent="0.2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</row>
    <row r="958" spans="1:14" ht="12.75" customHeight="1" x14ac:dyDescent="0.2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</row>
    <row r="959" spans="1:14" ht="12.75" customHeight="1" x14ac:dyDescent="0.2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</row>
    <row r="960" spans="1:14" ht="12.75" customHeight="1" x14ac:dyDescent="0.2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</row>
    <row r="961" spans="1:14" ht="12.75" customHeight="1" x14ac:dyDescent="0.2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</row>
    <row r="962" spans="1:14" ht="12.75" customHeight="1" x14ac:dyDescent="0.2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</row>
    <row r="963" spans="1:14" ht="12.75" customHeight="1" x14ac:dyDescent="0.2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</row>
    <row r="964" spans="1:14" ht="12.75" customHeight="1" x14ac:dyDescent="0.2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</row>
    <row r="965" spans="1:14" ht="12.75" customHeight="1" x14ac:dyDescent="0.2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</row>
    <row r="966" spans="1:14" ht="12.75" customHeight="1" x14ac:dyDescent="0.2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</row>
    <row r="967" spans="1:14" ht="12.75" customHeight="1" x14ac:dyDescent="0.2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</row>
    <row r="968" spans="1:14" ht="12.75" customHeight="1" x14ac:dyDescent="0.2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</row>
    <row r="969" spans="1:14" ht="12.75" customHeight="1" x14ac:dyDescent="0.2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</row>
    <row r="970" spans="1:14" ht="12.75" customHeight="1" x14ac:dyDescent="0.2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</row>
    <row r="971" spans="1:14" ht="12.75" customHeight="1" x14ac:dyDescent="0.2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</row>
    <row r="972" spans="1:14" ht="12.75" customHeight="1" x14ac:dyDescent="0.2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</row>
    <row r="973" spans="1:14" ht="12.75" customHeight="1" x14ac:dyDescent="0.2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</row>
    <row r="974" spans="1:14" ht="12.75" customHeight="1" x14ac:dyDescent="0.2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</row>
    <row r="975" spans="1:14" ht="12.75" customHeight="1" x14ac:dyDescent="0.2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</row>
    <row r="976" spans="1:14" ht="12.75" customHeight="1" x14ac:dyDescent="0.2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</row>
    <row r="977" spans="1:14" ht="12.75" customHeight="1" x14ac:dyDescent="0.2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</row>
    <row r="978" spans="1:14" ht="12.75" customHeight="1" x14ac:dyDescent="0.2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</row>
    <row r="979" spans="1:14" ht="12.75" customHeight="1" x14ac:dyDescent="0.2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</row>
    <row r="980" spans="1:14" ht="12.75" customHeight="1" x14ac:dyDescent="0.2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</row>
    <row r="981" spans="1:14" ht="12.75" customHeight="1" x14ac:dyDescent="0.2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</row>
    <row r="982" spans="1:14" ht="12.75" customHeight="1" x14ac:dyDescent="0.2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</row>
    <row r="983" spans="1:14" ht="12.75" customHeight="1" x14ac:dyDescent="0.2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</row>
    <row r="984" spans="1:14" ht="12.75" customHeight="1" x14ac:dyDescent="0.2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</row>
    <row r="985" spans="1:14" ht="12.75" customHeight="1" x14ac:dyDescent="0.2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</row>
    <row r="986" spans="1:14" ht="12.75" customHeight="1" x14ac:dyDescent="0.2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</row>
    <row r="987" spans="1:14" ht="12.75" customHeight="1" x14ac:dyDescent="0.2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</row>
    <row r="988" spans="1:14" ht="12.75" customHeight="1" x14ac:dyDescent="0.2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</row>
    <row r="989" spans="1:14" ht="12.75" customHeight="1" x14ac:dyDescent="0.2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</row>
    <row r="990" spans="1:14" ht="12.75" customHeight="1" x14ac:dyDescent="0.2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</row>
    <row r="991" spans="1:14" ht="12.75" customHeight="1" x14ac:dyDescent="0.2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</row>
    <row r="992" spans="1:14" ht="12.75" customHeight="1" x14ac:dyDescent="0.2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</row>
    <row r="993" spans="1:14" ht="12.75" customHeight="1" x14ac:dyDescent="0.2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</row>
    <row r="994" spans="1:14" ht="12.75" customHeight="1" x14ac:dyDescent="0.2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</row>
    <row r="995" spans="1:14" ht="12.75" customHeight="1" x14ac:dyDescent="0.2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</row>
    <row r="996" spans="1:14" ht="12.75" customHeight="1" x14ac:dyDescent="0.2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</row>
    <row r="997" spans="1:14" ht="12.75" customHeight="1" x14ac:dyDescent="0.2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</row>
    <row r="998" spans="1:14" ht="12.75" customHeight="1" x14ac:dyDescent="0.2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</row>
    <row r="999" spans="1:14" ht="12.75" customHeight="1" x14ac:dyDescent="0.2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</row>
    <row r="1000" spans="1:14" ht="12.75" customHeight="1" x14ac:dyDescent="0.2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</row>
  </sheetData>
  <mergeCells count="3">
    <mergeCell ref="A3:C3"/>
    <mergeCell ref="A4:C4"/>
    <mergeCell ref="B12:C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1"/>
  <sheetViews>
    <sheetView topLeftCell="A10" workbookViewId="0">
      <selection activeCell="G11" sqref="G11"/>
    </sheetView>
  </sheetViews>
  <sheetFormatPr defaultColWidth="12.25" defaultRowHeight="15" customHeight="1" x14ac:dyDescent="0.2"/>
  <cols>
    <col min="1" max="1" width="10" style="149" customWidth="1"/>
    <col min="2" max="2" width="56.75" style="149" customWidth="1"/>
    <col min="3" max="3" width="29.875" style="149" customWidth="1"/>
    <col min="4" max="13" width="9.625" style="149" customWidth="1"/>
    <col min="14" max="16384" width="12.25" style="149"/>
  </cols>
  <sheetData>
    <row r="1" spans="1:13" ht="23.25" customHeight="1" x14ac:dyDescent="0.25">
      <c r="A1" s="145"/>
      <c r="B1" s="146" t="s">
        <v>66</v>
      </c>
      <c r="C1" s="147" t="s">
        <v>67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5" customHeight="1" x14ac:dyDescent="0.25">
      <c r="A2" s="145"/>
      <c r="B2" s="150"/>
      <c r="C2" s="150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2.5" customHeight="1" x14ac:dyDescent="0.25">
      <c r="A3" s="288" t="s">
        <v>68</v>
      </c>
      <c r="B3" s="288"/>
      <c r="C3" s="28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22.5" customHeight="1" x14ac:dyDescent="0.25">
      <c r="A4" s="353" t="s">
        <v>208</v>
      </c>
      <c r="B4" s="353"/>
      <c r="C4" s="353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3" ht="22.5" customHeight="1" x14ac:dyDescent="0.25">
      <c r="A5" s="150"/>
      <c r="B5" s="150"/>
      <c r="C5" s="150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32.25" customHeight="1" x14ac:dyDescent="0.3">
      <c r="A6" s="151"/>
      <c r="B6" s="151"/>
      <c r="C6" s="152" t="s">
        <v>202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51.75" customHeight="1" x14ac:dyDescent="0.2">
      <c r="A7" s="153" t="s">
        <v>0</v>
      </c>
      <c r="B7" s="154" t="s">
        <v>69</v>
      </c>
      <c r="C7" s="155" t="s">
        <v>204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1:13" ht="44.25" customHeight="1" x14ac:dyDescent="0.2">
      <c r="A8" s="157">
        <v>1</v>
      </c>
      <c r="B8" s="158" t="s">
        <v>94</v>
      </c>
      <c r="C8" s="159">
        <v>1017300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1:13" ht="31.5" customHeight="1" x14ac:dyDescent="0.2">
      <c r="A9" s="157">
        <v>2</v>
      </c>
      <c r="B9" s="158" t="s">
        <v>71</v>
      </c>
      <c r="C9" s="159">
        <v>599400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3" ht="24.75" customHeight="1" x14ac:dyDescent="0.2">
      <c r="A10" s="157">
        <v>3</v>
      </c>
      <c r="B10" s="160" t="s">
        <v>209</v>
      </c>
      <c r="C10" s="159"/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1:13" ht="72.75" customHeight="1" x14ac:dyDescent="0.2">
      <c r="A11" s="161" t="s">
        <v>73</v>
      </c>
      <c r="B11" s="160" t="s">
        <v>210</v>
      </c>
      <c r="C11" s="159">
        <v>327100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1:13" ht="99.75" customHeight="1" x14ac:dyDescent="0.2">
      <c r="A12" s="162" t="s">
        <v>76</v>
      </c>
      <c r="B12" s="160" t="s">
        <v>211</v>
      </c>
      <c r="C12" s="159">
        <v>295200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</row>
    <row r="13" spans="1:13" ht="24" customHeight="1" x14ac:dyDescent="0.2">
      <c r="A13" s="162" t="s">
        <v>78</v>
      </c>
      <c r="B13" s="160" t="s">
        <v>212</v>
      </c>
      <c r="C13" s="159">
        <v>251100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</row>
    <row r="14" spans="1:13" ht="30" customHeight="1" x14ac:dyDescent="0.2">
      <c r="A14" s="157">
        <v>4</v>
      </c>
      <c r="B14" s="160" t="s">
        <v>213</v>
      </c>
      <c r="C14" s="159"/>
      <c r="D14" s="156"/>
      <c r="E14" s="156"/>
      <c r="F14" s="156"/>
      <c r="G14" s="156"/>
      <c r="H14" s="156"/>
      <c r="I14" s="156"/>
      <c r="J14" s="156"/>
      <c r="K14" s="156"/>
      <c r="L14" s="156"/>
      <c r="M14" s="156"/>
    </row>
    <row r="15" spans="1:13" ht="45" customHeight="1" x14ac:dyDescent="0.2">
      <c r="A15" s="162" t="s">
        <v>81</v>
      </c>
      <c r="B15" s="160" t="s">
        <v>214</v>
      </c>
      <c r="C15" s="159">
        <v>440400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</row>
    <row r="16" spans="1:13" ht="37.5" customHeight="1" x14ac:dyDescent="0.2">
      <c r="A16" s="161" t="s">
        <v>83</v>
      </c>
      <c r="B16" s="160" t="s">
        <v>215</v>
      </c>
      <c r="C16" s="159">
        <v>394800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</row>
    <row r="17" spans="1:13" ht="60.75" customHeight="1" x14ac:dyDescent="0.2">
      <c r="A17" s="162" t="s">
        <v>85</v>
      </c>
      <c r="B17" s="160" t="s">
        <v>216</v>
      </c>
      <c r="C17" s="159">
        <v>345800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</row>
    <row r="18" spans="1:13" ht="42" customHeight="1" x14ac:dyDescent="0.2">
      <c r="A18" s="162" t="s">
        <v>87</v>
      </c>
      <c r="B18" s="160" t="s">
        <v>217</v>
      </c>
      <c r="C18" s="159">
        <v>310300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</row>
    <row r="19" spans="1:13" ht="66" customHeight="1" x14ac:dyDescent="0.25">
      <c r="A19" s="163">
        <v>5</v>
      </c>
      <c r="B19" s="164" t="s">
        <v>218</v>
      </c>
      <c r="C19" s="165" t="s">
        <v>219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</row>
    <row r="20" spans="1:13" ht="12.75" customHeight="1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</row>
    <row r="21" spans="1:13" ht="12.75" customHeight="1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</row>
    <row r="22" spans="1:13" ht="12.75" customHeight="1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</row>
    <row r="23" spans="1:13" ht="12.75" customHeight="1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</row>
    <row r="24" spans="1:13" ht="12.75" customHeight="1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</row>
    <row r="25" spans="1:13" ht="12.75" customHeight="1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</row>
    <row r="26" spans="1:13" ht="12.75" customHeight="1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</row>
    <row r="27" spans="1:13" ht="12.75" customHeight="1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</row>
    <row r="28" spans="1:13" ht="12.75" customHeight="1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</row>
    <row r="29" spans="1:13" ht="12.75" customHeight="1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</row>
    <row r="30" spans="1:13" ht="12.75" customHeight="1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</row>
    <row r="31" spans="1:13" ht="12.75" customHeight="1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</row>
    <row r="32" spans="1:13" ht="12.75" customHeight="1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</row>
    <row r="33" spans="1:13" ht="12.75" customHeight="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</row>
    <row r="34" spans="1:13" ht="12.75" customHeight="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</row>
    <row r="35" spans="1:13" ht="12.75" customHeight="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</row>
    <row r="36" spans="1:13" ht="12.75" customHeight="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</row>
    <row r="37" spans="1:13" ht="12.75" customHeight="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8" spans="1:13" ht="12.75" customHeight="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</row>
    <row r="39" spans="1:13" ht="12.75" customHeight="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</row>
    <row r="40" spans="1:13" ht="12.75" customHeight="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</row>
    <row r="41" spans="1:13" ht="12.75" customHeight="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</row>
    <row r="42" spans="1:13" ht="12.75" customHeight="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</row>
    <row r="43" spans="1:13" ht="12.75" customHeight="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13" ht="12.75" customHeight="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</row>
    <row r="45" spans="1:13" ht="12.75" customHeight="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</row>
    <row r="46" spans="1:13" ht="12.75" customHeight="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</row>
    <row r="47" spans="1:13" ht="12.75" customHeight="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</row>
    <row r="48" spans="1:13" ht="12.75" customHeight="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</row>
    <row r="49" spans="1:13" ht="12.75" customHeight="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</row>
    <row r="50" spans="1:13" ht="12.75" customHeight="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</row>
    <row r="51" spans="1:13" ht="12.75" customHeight="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</row>
    <row r="52" spans="1:13" ht="12.75" customHeight="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</row>
    <row r="53" spans="1:13" ht="12.75" customHeight="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</row>
    <row r="54" spans="1:13" ht="12.75" customHeight="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</row>
    <row r="55" spans="1:13" ht="12.75" customHeight="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</row>
    <row r="56" spans="1:13" ht="12.75" customHeight="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</row>
    <row r="57" spans="1:13" ht="12.75" customHeight="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</row>
    <row r="58" spans="1:13" ht="12.75" customHeight="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</row>
    <row r="59" spans="1:13" ht="12.75" customHeight="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</row>
    <row r="60" spans="1:13" ht="12.75" customHeight="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</row>
    <row r="61" spans="1:13" ht="12.75" customHeight="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</row>
    <row r="62" spans="1:13" ht="12.75" customHeight="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</row>
    <row r="63" spans="1:13" ht="12.75" customHeight="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</row>
    <row r="64" spans="1:13" ht="12.75" customHeight="1" x14ac:dyDescent="0.2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</row>
    <row r="65" spans="1:13" ht="12.75" customHeight="1" x14ac:dyDescent="0.2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</row>
    <row r="66" spans="1:13" ht="12.75" customHeight="1" x14ac:dyDescent="0.2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</row>
    <row r="67" spans="1:13" ht="12.75" customHeight="1" x14ac:dyDescent="0.2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</row>
    <row r="68" spans="1:13" ht="12.75" customHeight="1" x14ac:dyDescent="0.2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</row>
    <row r="69" spans="1:13" ht="12.75" customHeight="1" x14ac:dyDescent="0.2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</row>
    <row r="70" spans="1:13" ht="12.75" customHeight="1" x14ac:dyDescent="0.2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</row>
    <row r="71" spans="1:13" ht="12.75" customHeight="1" x14ac:dyDescent="0.2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</row>
    <row r="72" spans="1:13" ht="12.75" customHeight="1" x14ac:dyDescent="0.2">
      <c r="A72" s="151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</row>
    <row r="73" spans="1:13" ht="12.75" customHeight="1" x14ac:dyDescent="0.2">
      <c r="A73" s="151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</row>
    <row r="74" spans="1:13" ht="12.75" customHeight="1" x14ac:dyDescent="0.2">
      <c r="A74" s="151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</row>
    <row r="75" spans="1:13" ht="12.75" customHeight="1" x14ac:dyDescent="0.2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</row>
    <row r="76" spans="1:13" ht="12.75" customHeight="1" x14ac:dyDescent="0.2">
      <c r="A76" s="151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</row>
    <row r="77" spans="1:13" ht="12.75" customHeight="1" x14ac:dyDescent="0.2">
      <c r="A77" s="151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</row>
    <row r="78" spans="1:13" ht="12.75" customHeight="1" x14ac:dyDescent="0.2">
      <c r="A78" s="151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</row>
    <row r="79" spans="1:13" ht="12.75" customHeight="1" x14ac:dyDescent="0.2">
      <c r="A79" s="151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</row>
    <row r="80" spans="1:13" ht="12.75" customHeight="1" x14ac:dyDescent="0.2">
      <c r="A80" s="151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</row>
    <row r="81" spans="1:13" ht="12.75" customHeight="1" x14ac:dyDescent="0.2">
      <c r="A81" s="151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</row>
    <row r="82" spans="1:13" ht="12.75" customHeight="1" x14ac:dyDescent="0.2">
      <c r="A82" s="151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</row>
    <row r="83" spans="1:13" ht="12.75" customHeight="1" x14ac:dyDescent="0.2">
      <c r="A83" s="151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 ht="12.75" customHeight="1" x14ac:dyDescent="0.2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</row>
    <row r="85" spans="1:13" ht="12.75" customHeight="1" x14ac:dyDescent="0.2">
      <c r="A85" s="151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</row>
    <row r="86" spans="1:13" ht="12.75" customHeight="1" x14ac:dyDescent="0.2">
      <c r="A86" s="151"/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</row>
    <row r="87" spans="1:13" ht="12.75" customHeight="1" x14ac:dyDescent="0.2">
      <c r="A87" s="151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</row>
    <row r="88" spans="1:13" ht="12.75" customHeight="1" x14ac:dyDescent="0.2">
      <c r="A88" s="151"/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</row>
    <row r="89" spans="1:13" ht="12.75" customHeight="1" x14ac:dyDescent="0.2">
      <c r="A89" s="151"/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</row>
    <row r="90" spans="1:13" ht="12.75" customHeight="1" x14ac:dyDescent="0.2">
      <c r="A90" s="151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</row>
    <row r="91" spans="1:13" ht="12.75" customHeight="1" x14ac:dyDescent="0.2">
      <c r="A91" s="151"/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</row>
    <row r="92" spans="1:13" ht="12.75" customHeight="1" x14ac:dyDescent="0.2">
      <c r="A92" s="151"/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</row>
    <row r="93" spans="1:13" ht="12.75" customHeight="1" x14ac:dyDescent="0.2">
      <c r="A93" s="151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</row>
    <row r="94" spans="1:13" ht="12.75" customHeight="1" x14ac:dyDescent="0.2">
      <c r="A94" s="151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</row>
    <row r="95" spans="1:13" ht="12.75" customHeight="1" x14ac:dyDescent="0.2">
      <c r="A95" s="151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</row>
    <row r="96" spans="1:13" ht="12.75" customHeight="1" x14ac:dyDescent="0.2">
      <c r="A96" s="151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</row>
    <row r="97" spans="1:13" ht="12.75" customHeight="1" x14ac:dyDescent="0.2">
      <c r="A97" s="151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</row>
    <row r="98" spans="1:13" ht="12.75" customHeight="1" x14ac:dyDescent="0.2">
      <c r="A98" s="151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</row>
    <row r="99" spans="1:13" ht="12.75" customHeight="1" x14ac:dyDescent="0.2">
      <c r="A99" s="151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</row>
    <row r="100" spans="1:13" ht="12.75" customHeight="1" x14ac:dyDescent="0.2">
      <c r="A100" s="151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</row>
    <row r="101" spans="1:13" ht="12.75" customHeight="1" x14ac:dyDescent="0.2">
      <c r="A101" s="151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</row>
    <row r="102" spans="1:13" ht="12.75" customHeight="1" x14ac:dyDescent="0.2">
      <c r="A102" s="151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</row>
    <row r="103" spans="1:13" ht="12.75" customHeight="1" x14ac:dyDescent="0.2">
      <c r="A103" s="151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</row>
    <row r="104" spans="1:13" ht="12.75" customHeight="1" x14ac:dyDescent="0.2">
      <c r="A104" s="151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</row>
    <row r="105" spans="1:13" ht="12.75" customHeight="1" x14ac:dyDescent="0.2">
      <c r="A105" s="151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</row>
    <row r="106" spans="1:13" ht="12.75" customHeight="1" x14ac:dyDescent="0.2">
      <c r="A106" s="151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</row>
    <row r="107" spans="1:13" ht="12.75" customHeight="1" x14ac:dyDescent="0.2">
      <c r="A107" s="151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</row>
    <row r="108" spans="1:13" ht="12.75" customHeight="1" x14ac:dyDescent="0.2">
      <c r="A108" s="151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</row>
    <row r="109" spans="1:13" ht="12.75" customHeight="1" x14ac:dyDescent="0.2">
      <c r="A109" s="151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</row>
    <row r="110" spans="1:13" ht="12.75" customHeight="1" x14ac:dyDescent="0.2">
      <c r="A110" s="151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</row>
    <row r="111" spans="1:13" ht="12.75" customHeight="1" x14ac:dyDescent="0.2">
      <c r="A111" s="151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</row>
    <row r="112" spans="1:13" ht="12.75" customHeight="1" x14ac:dyDescent="0.2">
      <c r="A112" s="151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</row>
    <row r="113" spans="1:13" ht="12.75" customHeight="1" x14ac:dyDescent="0.2">
      <c r="A113" s="151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</row>
    <row r="114" spans="1:13" ht="12.75" customHeight="1" x14ac:dyDescent="0.2">
      <c r="A114" s="151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</row>
    <row r="115" spans="1:13" ht="12.75" customHeight="1" x14ac:dyDescent="0.2">
      <c r="A115" s="151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</row>
    <row r="116" spans="1:13" ht="12.75" customHeight="1" x14ac:dyDescent="0.2">
      <c r="A116" s="151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</row>
    <row r="117" spans="1:13" ht="12.75" customHeight="1" x14ac:dyDescent="0.2">
      <c r="A117" s="151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</row>
    <row r="118" spans="1:13" ht="12.75" customHeight="1" x14ac:dyDescent="0.2">
      <c r="A118" s="151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</row>
    <row r="119" spans="1:13" ht="12.75" customHeight="1" x14ac:dyDescent="0.2">
      <c r="A119" s="151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</row>
    <row r="120" spans="1:13" ht="12.75" customHeight="1" x14ac:dyDescent="0.2">
      <c r="A120" s="151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</row>
    <row r="121" spans="1:13" ht="12.75" customHeight="1" x14ac:dyDescent="0.2">
      <c r="A121" s="151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</row>
    <row r="122" spans="1:13" ht="12.75" customHeight="1" x14ac:dyDescent="0.2">
      <c r="A122" s="151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</row>
    <row r="123" spans="1:13" ht="12.75" customHeight="1" x14ac:dyDescent="0.2">
      <c r="A123" s="151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</row>
    <row r="124" spans="1:13" ht="12.75" customHeight="1" x14ac:dyDescent="0.2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</row>
    <row r="125" spans="1:13" ht="12.75" customHeight="1" x14ac:dyDescent="0.2">
      <c r="A125" s="151"/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</row>
    <row r="126" spans="1:13" ht="12.75" customHeight="1" x14ac:dyDescent="0.2">
      <c r="A126" s="151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</row>
    <row r="127" spans="1:13" ht="12.75" customHeight="1" x14ac:dyDescent="0.2">
      <c r="A127" s="151"/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</row>
    <row r="128" spans="1:13" ht="12.75" customHeight="1" x14ac:dyDescent="0.2">
      <c r="A128" s="151"/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</row>
    <row r="129" spans="1:13" ht="12.75" customHeight="1" x14ac:dyDescent="0.2">
      <c r="A129" s="151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</row>
    <row r="130" spans="1:13" ht="12.75" customHeight="1" x14ac:dyDescent="0.2">
      <c r="A130" s="151"/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</row>
    <row r="131" spans="1:13" ht="12.75" customHeight="1" x14ac:dyDescent="0.2">
      <c r="A131" s="151"/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</row>
    <row r="132" spans="1:13" ht="12.75" customHeight="1" x14ac:dyDescent="0.2">
      <c r="A132" s="151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</row>
    <row r="133" spans="1:13" ht="12.75" customHeight="1" x14ac:dyDescent="0.2">
      <c r="A133" s="151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</row>
    <row r="134" spans="1:13" ht="12.75" customHeight="1" x14ac:dyDescent="0.2">
      <c r="A134" s="151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</row>
    <row r="135" spans="1:13" ht="12.75" customHeight="1" x14ac:dyDescent="0.2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</row>
    <row r="136" spans="1:13" ht="12.75" customHeight="1" x14ac:dyDescent="0.2">
      <c r="A136" s="151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</row>
    <row r="137" spans="1:13" ht="12.75" customHeight="1" x14ac:dyDescent="0.2">
      <c r="A137" s="151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</row>
    <row r="138" spans="1:13" ht="12.75" customHeight="1" x14ac:dyDescent="0.2">
      <c r="A138" s="151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</row>
    <row r="139" spans="1:13" ht="12.75" customHeight="1" x14ac:dyDescent="0.2">
      <c r="A139" s="151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</row>
    <row r="140" spans="1:13" ht="12.75" customHeight="1" x14ac:dyDescent="0.2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</row>
    <row r="141" spans="1:13" ht="12.75" customHeight="1" x14ac:dyDescent="0.2">
      <c r="A141" s="151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</row>
    <row r="142" spans="1:13" ht="12.75" customHeight="1" x14ac:dyDescent="0.2">
      <c r="A142" s="151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</row>
    <row r="143" spans="1:13" ht="12.75" customHeight="1" x14ac:dyDescent="0.2">
      <c r="A143" s="151"/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</row>
    <row r="144" spans="1:13" ht="12.75" customHeight="1" x14ac:dyDescent="0.2">
      <c r="A144" s="151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</row>
    <row r="145" spans="1:13" ht="12.75" customHeight="1" x14ac:dyDescent="0.2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</row>
    <row r="146" spans="1:13" ht="12.75" customHeight="1" x14ac:dyDescent="0.2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</row>
    <row r="147" spans="1:13" ht="12.75" customHeight="1" x14ac:dyDescent="0.2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</row>
    <row r="148" spans="1:13" ht="12.75" customHeight="1" x14ac:dyDescent="0.2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</row>
    <row r="149" spans="1:13" ht="12.75" customHeight="1" x14ac:dyDescent="0.2">
      <c r="A149" s="151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</row>
    <row r="150" spans="1:13" ht="12.75" customHeight="1" x14ac:dyDescent="0.2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</row>
    <row r="151" spans="1:13" ht="12.75" customHeight="1" x14ac:dyDescent="0.2">
      <c r="A151" s="151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</row>
    <row r="152" spans="1:13" ht="12.75" customHeight="1" x14ac:dyDescent="0.2">
      <c r="A152" s="151"/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</row>
    <row r="153" spans="1:13" ht="12.75" customHeight="1" x14ac:dyDescent="0.2">
      <c r="A153" s="151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</row>
    <row r="154" spans="1:13" ht="12.75" customHeight="1" x14ac:dyDescent="0.2">
      <c r="A154" s="151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</row>
    <row r="155" spans="1:13" ht="12.75" customHeight="1" x14ac:dyDescent="0.2">
      <c r="A155" s="151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</row>
    <row r="156" spans="1:13" ht="12.75" customHeight="1" x14ac:dyDescent="0.2">
      <c r="A156" s="151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</row>
    <row r="157" spans="1:13" ht="12.75" customHeight="1" x14ac:dyDescent="0.2">
      <c r="A157" s="151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</row>
    <row r="158" spans="1:13" ht="12.75" customHeight="1" x14ac:dyDescent="0.2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</row>
    <row r="159" spans="1:13" ht="12.75" customHeight="1" x14ac:dyDescent="0.2">
      <c r="A159" s="151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</row>
    <row r="160" spans="1:13" ht="12.75" customHeight="1" x14ac:dyDescent="0.2">
      <c r="A160" s="151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</row>
    <row r="161" spans="1:13" ht="12.75" customHeight="1" x14ac:dyDescent="0.2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</row>
    <row r="162" spans="1:13" ht="12.75" customHeight="1" x14ac:dyDescent="0.2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</row>
    <row r="163" spans="1:13" ht="12.75" customHeight="1" x14ac:dyDescent="0.2">
      <c r="A163" s="151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</row>
    <row r="164" spans="1:13" ht="12.75" customHeight="1" x14ac:dyDescent="0.2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</row>
    <row r="165" spans="1:13" ht="12.75" customHeight="1" x14ac:dyDescent="0.2">
      <c r="A165" s="151"/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</row>
    <row r="166" spans="1:13" ht="12.75" customHeight="1" x14ac:dyDescent="0.2">
      <c r="A166" s="151"/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</row>
    <row r="167" spans="1:13" ht="12.75" customHeight="1" x14ac:dyDescent="0.2">
      <c r="A167" s="151"/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</row>
    <row r="168" spans="1:13" ht="12.75" customHeight="1" x14ac:dyDescent="0.2">
      <c r="A168" s="151"/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</row>
    <row r="169" spans="1:13" ht="12.75" customHeight="1" x14ac:dyDescent="0.2">
      <c r="A169" s="151"/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</row>
    <row r="170" spans="1:13" ht="12.75" customHeight="1" x14ac:dyDescent="0.2">
      <c r="A170" s="151"/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</row>
    <row r="171" spans="1:13" ht="12.75" customHeight="1" x14ac:dyDescent="0.2">
      <c r="A171" s="151"/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</row>
    <row r="172" spans="1:13" ht="12.75" customHeight="1" x14ac:dyDescent="0.2">
      <c r="A172" s="151"/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</row>
    <row r="173" spans="1:13" ht="12.75" customHeight="1" x14ac:dyDescent="0.2">
      <c r="A173" s="151"/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</row>
    <row r="174" spans="1:13" ht="12.75" customHeight="1" x14ac:dyDescent="0.2">
      <c r="A174" s="151"/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</row>
    <row r="175" spans="1:13" ht="12.75" customHeight="1" x14ac:dyDescent="0.2">
      <c r="A175" s="151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</row>
    <row r="176" spans="1:13" ht="12.75" customHeight="1" x14ac:dyDescent="0.2">
      <c r="A176" s="151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</row>
    <row r="177" spans="1:13" ht="12.75" customHeight="1" x14ac:dyDescent="0.2">
      <c r="A177" s="151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</row>
    <row r="178" spans="1:13" ht="12.75" customHeight="1" x14ac:dyDescent="0.2">
      <c r="A178" s="151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</row>
    <row r="179" spans="1:13" ht="12.75" customHeight="1" x14ac:dyDescent="0.2">
      <c r="A179" s="151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</row>
    <row r="180" spans="1:13" ht="12.75" customHeight="1" x14ac:dyDescent="0.2">
      <c r="A180" s="151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</row>
    <row r="181" spans="1:13" ht="12.75" customHeight="1" x14ac:dyDescent="0.2">
      <c r="A181" s="151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</row>
    <row r="182" spans="1:13" ht="12.75" customHeight="1" x14ac:dyDescent="0.2">
      <c r="A182" s="151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</row>
    <row r="183" spans="1:13" ht="12.75" customHeight="1" x14ac:dyDescent="0.2">
      <c r="A183" s="151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</row>
    <row r="184" spans="1:13" ht="12.75" customHeight="1" x14ac:dyDescent="0.2">
      <c r="A184" s="151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</row>
    <row r="185" spans="1:13" ht="12.75" customHeight="1" x14ac:dyDescent="0.2">
      <c r="A185" s="151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</row>
    <row r="186" spans="1:13" ht="12.75" customHeight="1" x14ac:dyDescent="0.2">
      <c r="A186" s="151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</row>
    <row r="187" spans="1:13" ht="12.75" customHeight="1" x14ac:dyDescent="0.2">
      <c r="A187" s="151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</row>
    <row r="188" spans="1:13" ht="12.75" customHeight="1" x14ac:dyDescent="0.2">
      <c r="A188" s="151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</row>
    <row r="189" spans="1:13" ht="12.75" customHeight="1" x14ac:dyDescent="0.2">
      <c r="A189" s="151"/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</row>
    <row r="190" spans="1:13" ht="12.75" customHeight="1" x14ac:dyDescent="0.2">
      <c r="A190" s="151"/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</row>
    <row r="191" spans="1:13" ht="12.75" customHeight="1" x14ac:dyDescent="0.2">
      <c r="A191" s="151"/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</row>
    <row r="192" spans="1:13" ht="12.75" customHeight="1" x14ac:dyDescent="0.2">
      <c r="A192" s="151"/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</row>
    <row r="193" spans="1:13" ht="12.75" customHeight="1" x14ac:dyDescent="0.2">
      <c r="A193" s="151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</row>
    <row r="194" spans="1:13" ht="12.75" customHeight="1" x14ac:dyDescent="0.2">
      <c r="A194" s="151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</row>
    <row r="195" spans="1:13" ht="12.75" customHeight="1" x14ac:dyDescent="0.2">
      <c r="A195" s="151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</row>
    <row r="196" spans="1:13" ht="12.75" customHeight="1" x14ac:dyDescent="0.2">
      <c r="A196" s="151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</row>
    <row r="197" spans="1:13" ht="12.75" customHeight="1" x14ac:dyDescent="0.2">
      <c r="A197" s="151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</row>
    <row r="198" spans="1:13" ht="12.75" customHeight="1" x14ac:dyDescent="0.2">
      <c r="A198" s="151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</row>
    <row r="199" spans="1:13" ht="12.75" customHeight="1" x14ac:dyDescent="0.2">
      <c r="A199" s="151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</row>
    <row r="200" spans="1:13" ht="12.75" customHeight="1" x14ac:dyDescent="0.2">
      <c r="A200" s="151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</row>
    <row r="201" spans="1:13" ht="12.75" customHeight="1" x14ac:dyDescent="0.2">
      <c r="A201" s="151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</row>
    <row r="202" spans="1:13" ht="12.75" customHeight="1" x14ac:dyDescent="0.2">
      <c r="A202" s="151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</row>
    <row r="203" spans="1:13" ht="12.75" customHeight="1" x14ac:dyDescent="0.2">
      <c r="A203" s="151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</row>
    <row r="204" spans="1:13" ht="12.75" customHeight="1" x14ac:dyDescent="0.2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</row>
    <row r="205" spans="1:13" ht="12.75" customHeight="1" x14ac:dyDescent="0.2">
      <c r="A205" s="151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</row>
    <row r="206" spans="1:13" ht="12.75" customHeight="1" x14ac:dyDescent="0.2">
      <c r="A206" s="151"/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</row>
    <row r="207" spans="1:13" ht="12.75" customHeight="1" x14ac:dyDescent="0.2">
      <c r="A207" s="151"/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</row>
    <row r="208" spans="1:13" ht="12.75" customHeight="1" x14ac:dyDescent="0.2">
      <c r="A208" s="151"/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</row>
    <row r="209" spans="1:13" ht="12.75" customHeight="1" x14ac:dyDescent="0.2">
      <c r="A209" s="151"/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</row>
    <row r="210" spans="1:13" ht="12.75" customHeight="1" x14ac:dyDescent="0.2">
      <c r="A210" s="151"/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</row>
    <row r="211" spans="1:13" ht="12.75" customHeight="1" x14ac:dyDescent="0.2">
      <c r="A211" s="151"/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</row>
    <row r="212" spans="1:13" ht="12.75" customHeight="1" x14ac:dyDescent="0.2">
      <c r="A212" s="151"/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</row>
    <row r="213" spans="1:13" ht="12.75" customHeight="1" x14ac:dyDescent="0.2">
      <c r="A213" s="151"/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</row>
    <row r="214" spans="1:13" ht="12.75" customHeight="1" x14ac:dyDescent="0.2">
      <c r="A214" s="151"/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</row>
    <row r="215" spans="1:13" ht="12.75" customHeight="1" x14ac:dyDescent="0.2">
      <c r="A215" s="151"/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</row>
    <row r="216" spans="1:13" ht="12.75" customHeight="1" x14ac:dyDescent="0.2">
      <c r="A216" s="151"/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</row>
    <row r="217" spans="1:13" ht="12.75" customHeight="1" x14ac:dyDescent="0.2">
      <c r="A217" s="151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</row>
    <row r="218" spans="1:13" ht="12.75" customHeight="1" x14ac:dyDescent="0.2">
      <c r="A218" s="151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</row>
    <row r="219" spans="1:13" ht="12.75" customHeight="1" x14ac:dyDescent="0.2">
      <c r="A219" s="151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</row>
    <row r="220" spans="1:13" ht="12.75" customHeight="1" x14ac:dyDescent="0.2">
      <c r="A220" s="151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</row>
    <row r="221" spans="1:13" ht="12.75" customHeight="1" x14ac:dyDescent="0.2">
      <c r="A221" s="151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</row>
    <row r="222" spans="1:13" ht="12.75" customHeight="1" x14ac:dyDescent="0.2">
      <c r="A222" s="151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</row>
    <row r="223" spans="1:13" ht="12.75" customHeight="1" x14ac:dyDescent="0.2">
      <c r="A223" s="151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</row>
    <row r="224" spans="1:13" ht="12.75" customHeight="1" x14ac:dyDescent="0.2">
      <c r="A224" s="151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</row>
    <row r="225" spans="1:13" ht="12.75" customHeight="1" x14ac:dyDescent="0.2">
      <c r="A225" s="151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</row>
    <row r="226" spans="1:13" ht="12.75" customHeight="1" x14ac:dyDescent="0.2">
      <c r="A226" s="151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</row>
    <row r="227" spans="1:13" ht="12.75" customHeight="1" x14ac:dyDescent="0.2">
      <c r="A227" s="151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</row>
    <row r="228" spans="1:13" ht="12.75" customHeight="1" x14ac:dyDescent="0.2">
      <c r="A228" s="151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</row>
    <row r="229" spans="1:13" ht="12.75" customHeight="1" x14ac:dyDescent="0.2">
      <c r="A229" s="151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</row>
    <row r="230" spans="1:13" ht="12.75" customHeight="1" x14ac:dyDescent="0.2">
      <c r="A230" s="151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</row>
    <row r="231" spans="1:13" ht="12.75" customHeight="1" x14ac:dyDescent="0.2">
      <c r="A231" s="151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</row>
    <row r="232" spans="1:13" ht="12.75" customHeight="1" x14ac:dyDescent="0.2">
      <c r="A232" s="151"/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</row>
    <row r="233" spans="1:13" ht="12.75" customHeight="1" x14ac:dyDescent="0.2">
      <c r="A233" s="151"/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</row>
    <row r="234" spans="1:13" ht="12.75" customHeight="1" x14ac:dyDescent="0.2">
      <c r="A234" s="151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</row>
    <row r="235" spans="1:13" ht="12.75" customHeight="1" x14ac:dyDescent="0.2">
      <c r="A235" s="151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</row>
    <row r="236" spans="1:13" ht="12.75" customHeight="1" x14ac:dyDescent="0.2">
      <c r="A236" s="151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</row>
    <row r="237" spans="1:13" ht="12.75" customHeight="1" x14ac:dyDescent="0.2">
      <c r="A237" s="151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</row>
    <row r="238" spans="1:13" ht="12.75" customHeight="1" x14ac:dyDescent="0.2">
      <c r="A238" s="151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</row>
    <row r="239" spans="1:13" ht="12.75" customHeight="1" x14ac:dyDescent="0.2">
      <c r="A239" s="151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</row>
    <row r="240" spans="1:13" ht="12.75" customHeight="1" x14ac:dyDescent="0.2">
      <c r="A240" s="151"/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</row>
    <row r="241" spans="1:13" ht="12.75" customHeight="1" x14ac:dyDescent="0.2">
      <c r="A241" s="151"/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</row>
    <row r="242" spans="1:13" ht="12.75" customHeight="1" x14ac:dyDescent="0.2">
      <c r="A242" s="151"/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</row>
    <row r="243" spans="1:13" ht="12.75" customHeight="1" x14ac:dyDescent="0.2">
      <c r="A243" s="151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</row>
    <row r="244" spans="1:13" ht="12.75" customHeight="1" x14ac:dyDescent="0.2">
      <c r="A244" s="151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</row>
    <row r="245" spans="1:13" ht="12.75" customHeight="1" x14ac:dyDescent="0.2">
      <c r="A245" s="151"/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</row>
    <row r="246" spans="1:13" ht="12.75" customHeight="1" x14ac:dyDescent="0.2">
      <c r="A246" s="151"/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</row>
    <row r="247" spans="1:13" ht="12.75" customHeight="1" x14ac:dyDescent="0.2">
      <c r="A247" s="151"/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</row>
    <row r="248" spans="1:13" ht="12.75" customHeight="1" x14ac:dyDescent="0.2">
      <c r="A248" s="151"/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</row>
    <row r="249" spans="1:13" ht="12.75" customHeight="1" x14ac:dyDescent="0.2">
      <c r="A249" s="151"/>
      <c r="B249" s="151"/>
      <c r="C249" s="151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</row>
    <row r="250" spans="1:13" ht="12.75" customHeight="1" x14ac:dyDescent="0.2">
      <c r="A250" s="151"/>
      <c r="B250" s="151"/>
      <c r="C250" s="151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</row>
    <row r="251" spans="1:13" ht="12.75" customHeight="1" x14ac:dyDescent="0.2">
      <c r="A251" s="151"/>
      <c r="B251" s="151"/>
      <c r="C251" s="151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</row>
    <row r="252" spans="1:13" ht="12.75" customHeight="1" x14ac:dyDescent="0.2">
      <c r="A252" s="151"/>
      <c r="B252" s="151"/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</row>
    <row r="253" spans="1:13" ht="12.75" customHeight="1" x14ac:dyDescent="0.2">
      <c r="A253" s="151"/>
      <c r="B253" s="151"/>
      <c r="C253" s="151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</row>
    <row r="254" spans="1:13" ht="12.75" customHeight="1" x14ac:dyDescent="0.2">
      <c r="A254" s="151"/>
      <c r="B254" s="151"/>
      <c r="C254" s="151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</row>
    <row r="255" spans="1:13" ht="12.75" customHeight="1" x14ac:dyDescent="0.2">
      <c r="A255" s="151"/>
      <c r="B255" s="151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</row>
    <row r="256" spans="1:13" ht="12.75" customHeight="1" x14ac:dyDescent="0.2">
      <c r="A256" s="151"/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</row>
    <row r="257" spans="1:13" ht="12.75" customHeight="1" x14ac:dyDescent="0.2">
      <c r="A257" s="151"/>
      <c r="B257" s="151"/>
      <c r="C257" s="151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</row>
    <row r="258" spans="1:13" ht="12.75" customHeight="1" x14ac:dyDescent="0.2">
      <c r="A258" s="151"/>
      <c r="B258" s="151"/>
      <c r="C258" s="151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</row>
    <row r="259" spans="1:13" ht="12.75" customHeight="1" x14ac:dyDescent="0.2">
      <c r="A259" s="151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</row>
    <row r="260" spans="1:13" ht="12.75" customHeight="1" x14ac:dyDescent="0.2">
      <c r="A260" s="151"/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</row>
    <row r="261" spans="1:13" ht="12.75" customHeight="1" x14ac:dyDescent="0.2">
      <c r="A261" s="151"/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</row>
    <row r="262" spans="1:13" ht="12.75" customHeight="1" x14ac:dyDescent="0.2">
      <c r="A262" s="151"/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</row>
    <row r="263" spans="1:13" ht="12.75" customHeight="1" x14ac:dyDescent="0.2">
      <c r="A263" s="151"/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</row>
    <row r="264" spans="1:13" ht="12.75" customHeight="1" x14ac:dyDescent="0.2">
      <c r="A264" s="151"/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</row>
    <row r="265" spans="1:13" ht="12.75" customHeight="1" x14ac:dyDescent="0.2">
      <c r="A265" s="151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</row>
    <row r="266" spans="1:13" ht="12.75" customHeight="1" x14ac:dyDescent="0.2">
      <c r="A266" s="151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</row>
    <row r="267" spans="1:13" ht="12.75" customHeight="1" x14ac:dyDescent="0.2">
      <c r="A267" s="151"/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</row>
    <row r="268" spans="1:13" ht="12.75" customHeight="1" x14ac:dyDescent="0.2">
      <c r="A268" s="151"/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</row>
    <row r="269" spans="1:13" ht="12.75" customHeight="1" x14ac:dyDescent="0.2">
      <c r="A269" s="151"/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</row>
    <row r="270" spans="1:13" ht="12.75" customHeight="1" x14ac:dyDescent="0.2">
      <c r="A270" s="151"/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</row>
    <row r="271" spans="1:13" ht="12.75" customHeight="1" x14ac:dyDescent="0.2">
      <c r="A271" s="151"/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</row>
    <row r="272" spans="1:13" ht="12.75" customHeight="1" x14ac:dyDescent="0.2">
      <c r="A272" s="151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</row>
    <row r="273" spans="1:13" ht="12.75" customHeight="1" x14ac:dyDescent="0.2">
      <c r="A273" s="151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</row>
    <row r="274" spans="1:13" ht="12.75" customHeight="1" x14ac:dyDescent="0.2">
      <c r="A274" s="151"/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</row>
    <row r="275" spans="1:13" ht="12.75" customHeight="1" x14ac:dyDescent="0.2">
      <c r="A275" s="151"/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</row>
    <row r="276" spans="1:13" ht="12.75" customHeight="1" x14ac:dyDescent="0.2">
      <c r="A276" s="151"/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</row>
    <row r="277" spans="1:13" ht="12.75" customHeight="1" x14ac:dyDescent="0.2">
      <c r="A277" s="151"/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</row>
    <row r="278" spans="1:13" ht="12.75" customHeight="1" x14ac:dyDescent="0.2">
      <c r="A278" s="151"/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</row>
    <row r="279" spans="1:13" ht="12.75" customHeight="1" x14ac:dyDescent="0.2">
      <c r="A279" s="151"/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</row>
    <row r="280" spans="1:13" ht="12.75" customHeight="1" x14ac:dyDescent="0.2">
      <c r="A280" s="151"/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</row>
    <row r="281" spans="1:13" ht="12.75" customHeight="1" x14ac:dyDescent="0.2">
      <c r="A281" s="151"/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</row>
    <row r="282" spans="1:13" ht="12.75" customHeight="1" x14ac:dyDescent="0.2">
      <c r="A282" s="151"/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</row>
    <row r="283" spans="1:13" ht="12.75" customHeight="1" x14ac:dyDescent="0.2">
      <c r="A283" s="151"/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</row>
    <row r="284" spans="1:13" ht="12.75" customHeight="1" x14ac:dyDescent="0.2">
      <c r="A284" s="151"/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</row>
    <row r="285" spans="1:13" ht="12.75" customHeight="1" x14ac:dyDescent="0.2">
      <c r="A285" s="151"/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</row>
    <row r="286" spans="1:13" ht="12.75" customHeight="1" x14ac:dyDescent="0.2">
      <c r="A286" s="151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</row>
    <row r="287" spans="1:13" ht="12.75" customHeight="1" x14ac:dyDescent="0.2">
      <c r="A287" s="151"/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</row>
    <row r="288" spans="1:13" ht="12.75" customHeight="1" x14ac:dyDescent="0.2">
      <c r="A288" s="151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</row>
    <row r="289" spans="1:13" ht="12.75" customHeight="1" x14ac:dyDescent="0.2">
      <c r="A289" s="151"/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</row>
    <row r="290" spans="1:13" ht="12.75" customHeight="1" x14ac:dyDescent="0.2">
      <c r="A290" s="151"/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</row>
    <row r="291" spans="1:13" ht="12.75" customHeight="1" x14ac:dyDescent="0.2">
      <c r="A291" s="151"/>
      <c r="B291" s="151"/>
      <c r="C291" s="151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</row>
    <row r="292" spans="1:13" ht="12.75" customHeight="1" x14ac:dyDescent="0.2">
      <c r="A292" s="151"/>
      <c r="B292" s="151"/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</row>
    <row r="293" spans="1:13" ht="12.75" customHeight="1" x14ac:dyDescent="0.2">
      <c r="A293" s="151"/>
      <c r="B293" s="151"/>
      <c r="C293" s="151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</row>
    <row r="294" spans="1:13" ht="12.75" customHeight="1" x14ac:dyDescent="0.2">
      <c r="A294" s="151"/>
      <c r="B294" s="151"/>
      <c r="C294" s="151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</row>
    <row r="295" spans="1:13" ht="12.75" customHeight="1" x14ac:dyDescent="0.2">
      <c r="A295" s="151"/>
      <c r="B295" s="151"/>
      <c r="C295" s="151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</row>
    <row r="296" spans="1:13" ht="12.75" customHeight="1" x14ac:dyDescent="0.2">
      <c r="A296" s="151"/>
      <c r="B296" s="151"/>
      <c r="C296" s="151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</row>
    <row r="297" spans="1:13" ht="12.75" customHeight="1" x14ac:dyDescent="0.2">
      <c r="A297" s="151"/>
      <c r="B297" s="151"/>
      <c r="C297" s="151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</row>
    <row r="298" spans="1:13" ht="12.75" customHeight="1" x14ac:dyDescent="0.2">
      <c r="A298" s="151"/>
      <c r="B298" s="151"/>
      <c r="C298" s="151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</row>
    <row r="299" spans="1:13" ht="12.75" customHeight="1" x14ac:dyDescent="0.2">
      <c r="A299" s="151"/>
      <c r="B299" s="151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</row>
    <row r="300" spans="1:13" ht="12.75" customHeight="1" x14ac:dyDescent="0.2">
      <c r="A300" s="151"/>
      <c r="B300" s="151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</row>
    <row r="301" spans="1:13" ht="12.75" customHeight="1" x14ac:dyDescent="0.2">
      <c r="A301" s="151"/>
      <c r="B301" s="151"/>
      <c r="C301" s="151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</row>
    <row r="302" spans="1:13" ht="12.75" customHeight="1" x14ac:dyDescent="0.2">
      <c r="A302" s="151"/>
      <c r="B302" s="151"/>
      <c r="C302" s="151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</row>
    <row r="303" spans="1:13" ht="12.75" customHeight="1" x14ac:dyDescent="0.2">
      <c r="A303" s="151"/>
      <c r="B303" s="151"/>
      <c r="C303" s="151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</row>
    <row r="304" spans="1:13" ht="12.75" customHeight="1" x14ac:dyDescent="0.2">
      <c r="A304" s="151"/>
      <c r="B304" s="151"/>
      <c r="C304" s="151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</row>
    <row r="305" spans="1:13" ht="12.75" customHeight="1" x14ac:dyDescent="0.2">
      <c r="A305" s="151"/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</row>
    <row r="306" spans="1:13" ht="12.75" customHeight="1" x14ac:dyDescent="0.2">
      <c r="A306" s="151"/>
      <c r="B306" s="151"/>
      <c r="C306" s="151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</row>
    <row r="307" spans="1:13" ht="12.75" customHeight="1" x14ac:dyDescent="0.2">
      <c r="A307" s="151"/>
      <c r="B307" s="151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</row>
    <row r="308" spans="1:13" ht="12.75" customHeight="1" x14ac:dyDescent="0.2">
      <c r="A308" s="151"/>
      <c r="B308" s="151"/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</row>
    <row r="309" spans="1:13" ht="12.75" customHeight="1" x14ac:dyDescent="0.2">
      <c r="A309" s="151"/>
      <c r="B309" s="151"/>
      <c r="C309" s="151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</row>
    <row r="310" spans="1:13" ht="12.75" customHeight="1" x14ac:dyDescent="0.2">
      <c r="A310" s="151"/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</row>
    <row r="311" spans="1:13" ht="12.75" customHeight="1" x14ac:dyDescent="0.2">
      <c r="A311" s="151"/>
      <c r="B311" s="151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</row>
    <row r="312" spans="1:13" ht="12.75" customHeight="1" x14ac:dyDescent="0.2">
      <c r="A312" s="151"/>
      <c r="B312" s="151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</row>
    <row r="313" spans="1:13" ht="12.75" customHeight="1" x14ac:dyDescent="0.2">
      <c r="A313" s="151"/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</row>
    <row r="314" spans="1:13" ht="12.75" customHeight="1" x14ac:dyDescent="0.2">
      <c r="A314" s="151"/>
      <c r="B314" s="151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</row>
    <row r="315" spans="1:13" ht="12.75" customHeight="1" x14ac:dyDescent="0.2">
      <c r="A315" s="151"/>
      <c r="B315" s="151"/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</row>
    <row r="316" spans="1:13" ht="12.75" customHeight="1" x14ac:dyDescent="0.2">
      <c r="A316" s="151"/>
      <c r="B316" s="151"/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</row>
    <row r="317" spans="1:13" ht="12.75" customHeight="1" x14ac:dyDescent="0.2">
      <c r="A317" s="151"/>
      <c r="B317" s="151"/>
      <c r="C317" s="151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</row>
    <row r="318" spans="1:13" ht="12.75" customHeight="1" x14ac:dyDescent="0.2">
      <c r="A318" s="151"/>
      <c r="B318" s="151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</row>
    <row r="319" spans="1:13" ht="12.75" customHeight="1" x14ac:dyDescent="0.2">
      <c r="A319" s="151"/>
      <c r="B319" s="151"/>
      <c r="C319" s="151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</row>
    <row r="320" spans="1:13" ht="12.75" customHeight="1" x14ac:dyDescent="0.2">
      <c r="A320" s="151"/>
      <c r="B320" s="151"/>
      <c r="C320" s="151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</row>
    <row r="321" spans="1:13" ht="12.75" customHeight="1" x14ac:dyDescent="0.2">
      <c r="A321" s="151"/>
      <c r="B321" s="151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</row>
    <row r="322" spans="1:13" ht="12.75" customHeight="1" x14ac:dyDescent="0.2">
      <c r="A322" s="151"/>
      <c r="B322" s="151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</row>
    <row r="323" spans="1:13" ht="12.75" customHeight="1" x14ac:dyDescent="0.2">
      <c r="A323" s="151"/>
      <c r="B323" s="151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</row>
    <row r="324" spans="1:13" ht="12.75" customHeight="1" x14ac:dyDescent="0.2">
      <c r="A324" s="151"/>
      <c r="B324" s="151"/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</row>
    <row r="325" spans="1:13" ht="12.75" customHeight="1" x14ac:dyDescent="0.2">
      <c r="A325" s="151"/>
      <c r="B325" s="151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</row>
    <row r="326" spans="1:13" ht="12.75" customHeight="1" x14ac:dyDescent="0.2">
      <c r="A326" s="151"/>
      <c r="B326" s="151"/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</row>
    <row r="327" spans="1:13" ht="12.75" customHeight="1" x14ac:dyDescent="0.2">
      <c r="A327" s="151"/>
      <c r="B327" s="15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</row>
    <row r="328" spans="1:13" ht="12.75" customHeight="1" x14ac:dyDescent="0.2">
      <c r="A328" s="151"/>
      <c r="B328" s="151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</row>
    <row r="329" spans="1:13" ht="12.75" customHeight="1" x14ac:dyDescent="0.2">
      <c r="A329" s="151"/>
      <c r="B329" s="151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</row>
    <row r="330" spans="1:13" ht="12.75" customHeight="1" x14ac:dyDescent="0.2">
      <c r="A330" s="151"/>
      <c r="B330" s="151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</row>
    <row r="331" spans="1:13" ht="12.75" customHeight="1" x14ac:dyDescent="0.2">
      <c r="A331" s="151"/>
      <c r="B331" s="151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</row>
    <row r="332" spans="1:13" ht="12.75" customHeight="1" x14ac:dyDescent="0.2">
      <c r="A332" s="151"/>
      <c r="B332" s="15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</row>
    <row r="333" spans="1:13" ht="12.75" customHeight="1" x14ac:dyDescent="0.2">
      <c r="A333" s="151"/>
      <c r="B333" s="151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</row>
    <row r="334" spans="1:13" ht="12.75" customHeight="1" x14ac:dyDescent="0.2">
      <c r="A334" s="151"/>
      <c r="B334" s="151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</row>
    <row r="335" spans="1:13" ht="12.75" customHeight="1" x14ac:dyDescent="0.2">
      <c r="A335" s="151"/>
      <c r="B335" s="151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</row>
    <row r="336" spans="1:13" ht="12.75" customHeight="1" x14ac:dyDescent="0.2">
      <c r="A336" s="151"/>
      <c r="B336" s="151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</row>
    <row r="337" spans="1:13" ht="12.75" customHeight="1" x14ac:dyDescent="0.2">
      <c r="A337" s="151"/>
      <c r="B337" s="151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</row>
    <row r="338" spans="1:13" ht="12.75" customHeight="1" x14ac:dyDescent="0.2">
      <c r="A338" s="151"/>
      <c r="B338" s="151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</row>
    <row r="339" spans="1:13" ht="12.75" customHeight="1" x14ac:dyDescent="0.2">
      <c r="A339" s="151"/>
      <c r="B339" s="151"/>
      <c r="C339" s="151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</row>
    <row r="340" spans="1:13" ht="12.75" customHeight="1" x14ac:dyDescent="0.2">
      <c r="A340" s="151"/>
      <c r="B340" s="151"/>
      <c r="C340" s="151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</row>
    <row r="341" spans="1:13" ht="12.75" customHeight="1" x14ac:dyDescent="0.2">
      <c r="A341" s="151"/>
      <c r="B341" s="151"/>
      <c r="C341" s="151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</row>
    <row r="342" spans="1:13" ht="12.75" customHeight="1" x14ac:dyDescent="0.2">
      <c r="A342" s="151"/>
      <c r="B342" s="151"/>
      <c r="C342" s="151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</row>
    <row r="343" spans="1:13" ht="12.75" customHeight="1" x14ac:dyDescent="0.2">
      <c r="A343" s="151"/>
      <c r="B343" s="151"/>
      <c r="C343" s="151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</row>
    <row r="344" spans="1:13" ht="12.75" customHeight="1" x14ac:dyDescent="0.2">
      <c r="A344" s="151"/>
      <c r="B344" s="15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</row>
    <row r="345" spans="1:13" ht="12.75" customHeight="1" x14ac:dyDescent="0.2">
      <c r="A345" s="151"/>
      <c r="B345" s="151"/>
      <c r="C345" s="151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</row>
    <row r="346" spans="1:13" ht="12.75" customHeight="1" x14ac:dyDescent="0.2">
      <c r="A346" s="151"/>
      <c r="B346" s="151"/>
      <c r="C346" s="151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</row>
    <row r="347" spans="1:13" ht="12.75" customHeight="1" x14ac:dyDescent="0.2">
      <c r="A347" s="151"/>
      <c r="B347" s="151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</row>
    <row r="348" spans="1:13" ht="12.75" customHeight="1" x14ac:dyDescent="0.2">
      <c r="A348" s="151"/>
      <c r="B348" s="151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</row>
    <row r="349" spans="1:13" ht="12.75" customHeight="1" x14ac:dyDescent="0.2">
      <c r="A349" s="151"/>
      <c r="B349" s="15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</row>
    <row r="350" spans="1:13" ht="12.75" customHeight="1" x14ac:dyDescent="0.2">
      <c r="A350" s="151"/>
      <c r="B350" s="151"/>
      <c r="C350" s="151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</row>
    <row r="351" spans="1:13" ht="12.75" customHeight="1" x14ac:dyDescent="0.2">
      <c r="A351" s="151"/>
      <c r="B351" s="151"/>
      <c r="C351" s="151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</row>
    <row r="352" spans="1:13" ht="12.75" customHeight="1" x14ac:dyDescent="0.2">
      <c r="A352" s="151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</row>
    <row r="353" spans="1:13" ht="12.75" customHeight="1" x14ac:dyDescent="0.2">
      <c r="A353" s="151"/>
      <c r="B353" s="151"/>
      <c r="C353" s="151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</row>
    <row r="354" spans="1:13" ht="12.75" customHeight="1" x14ac:dyDescent="0.2">
      <c r="A354" s="151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</row>
    <row r="355" spans="1:13" ht="12.75" customHeight="1" x14ac:dyDescent="0.2">
      <c r="A355" s="151"/>
      <c r="B355" s="151"/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</row>
    <row r="356" spans="1:13" ht="12.75" customHeight="1" x14ac:dyDescent="0.2">
      <c r="A356" s="151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</row>
    <row r="357" spans="1:13" ht="12.75" customHeight="1" x14ac:dyDescent="0.2">
      <c r="A357" s="151"/>
      <c r="B357" s="151"/>
      <c r="C357" s="151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</row>
    <row r="358" spans="1:13" ht="12.75" customHeight="1" x14ac:dyDescent="0.2">
      <c r="A358" s="151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</row>
    <row r="359" spans="1:13" ht="12.75" customHeight="1" x14ac:dyDescent="0.2">
      <c r="A359" s="151"/>
      <c r="B359" s="15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</row>
    <row r="360" spans="1:13" ht="12.75" customHeight="1" x14ac:dyDescent="0.2">
      <c r="A360" s="151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</row>
    <row r="361" spans="1:13" ht="12.75" customHeight="1" x14ac:dyDescent="0.2">
      <c r="A361" s="151"/>
      <c r="B361" s="151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</row>
    <row r="362" spans="1:13" ht="12.75" customHeight="1" x14ac:dyDescent="0.2">
      <c r="A362" s="151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</row>
    <row r="363" spans="1:13" ht="12.75" customHeight="1" x14ac:dyDescent="0.2">
      <c r="A363" s="151"/>
      <c r="B363" s="151"/>
      <c r="C363" s="151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</row>
    <row r="364" spans="1:13" ht="12.75" customHeight="1" x14ac:dyDescent="0.2">
      <c r="A364" s="151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</row>
    <row r="365" spans="1:13" ht="12.75" customHeight="1" x14ac:dyDescent="0.2">
      <c r="A365" s="151"/>
      <c r="B365" s="151"/>
      <c r="C365" s="151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</row>
    <row r="366" spans="1:13" ht="12.75" customHeight="1" x14ac:dyDescent="0.2">
      <c r="A366" s="151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</row>
    <row r="367" spans="1:13" ht="12.75" customHeight="1" x14ac:dyDescent="0.2">
      <c r="A367" s="151"/>
      <c r="B367" s="151"/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</row>
    <row r="368" spans="1:13" ht="12.75" customHeight="1" x14ac:dyDescent="0.2">
      <c r="A368" s="151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</row>
    <row r="369" spans="1:13" ht="12.75" customHeight="1" x14ac:dyDescent="0.2">
      <c r="A369" s="151"/>
      <c r="B369" s="151"/>
      <c r="C369" s="151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</row>
    <row r="370" spans="1:13" ht="12.75" customHeight="1" x14ac:dyDescent="0.2">
      <c r="A370" s="151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</row>
    <row r="371" spans="1:13" ht="12.75" customHeight="1" x14ac:dyDescent="0.2">
      <c r="A371" s="151"/>
      <c r="B371" s="151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</row>
    <row r="372" spans="1:13" ht="12.75" customHeight="1" x14ac:dyDescent="0.2">
      <c r="A372" s="151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</row>
    <row r="373" spans="1:13" ht="12.75" customHeight="1" x14ac:dyDescent="0.2">
      <c r="A373" s="151"/>
      <c r="B373" s="151"/>
      <c r="C373" s="151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</row>
    <row r="374" spans="1:13" ht="12.75" customHeight="1" x14ac:dyDescent="0.2">
      <c r="A374" s="151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</row>
    <row r="375" spans="1:13" ht="12.75" customHeight="1" x14ac:dyDescent="0.2">
      <c r="A375" s="151"/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</row>
    <row r="376" spans="1:13" ht="12.75" customHeight="1" x14ac:dyDescent="0.2">
      <c r="A376" s="151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</row>
    <row r="377" spans="1:13" ht="12.75" customHeight="1" x14ac:dyDescent="0.2">
      <c r="A377" s="151"/>
      <c r="B377" s="151"/>
      <c r="C377" s="151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</row>
    <row r="378" spans="1:13" ht="12.75" customHeight="1" x14ac:dyDescent="0.2">
      <c r="A378" s="151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</row>
    <row r="379" spans="1:13" ht="12.75" customHeight="1" x14ac:dyDescent="0.2">
      <c r="A379" s="151"/>
      <c r="B379" s="151"/>
      <c r="C379" s="151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</row>
    <row r="380" spans="1:13" ht="12.75" customHeight="1" x14ac:dyDescent="0.2">
      <c r="A380" s="151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</row>
    <row r="381" spans="1:13" ht="12.75" customHeight="1" x14ac:dyDescent="0.2">
      <c r="A381" s="151"/>
      <c r="B381" s="151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</row>
    <row r="382" spans="1:13" ht="12.75" customHeight="1" x14ac:dyDescent="0.2">
      <c r="A382" s="151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</row>
    <row r="383" spans="1:13" ht="12.75" customHeight="1" x14ac:dyDescent="0.2">
      <c r="A383" s="151"/>
      <c r="B383" s="151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</row>
    <row r="384" spans="1:13" ht="12.75" customHeight="1" x14ac:dyDescent="0.2">
      <c r="A384" s="151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</row>
    <row r="385" spans="1:13" ht="12.75" customHeight="1" x14ac:dyDescent="0.2">
      <c r="A385" s="151"/>
      <c r="B385" s="151"/>
      <c r="C385" s="151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</row>
    <row r="386" spans="1:13" ht="12.75" customHeight="1" x14ac:dyDescent="0.2">
      <c r="A386" s="151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</row>
    <row r="387" spans="1:13" ht="12.75" customHeight="1" x14ac:dyDescent="0.2">
      <c r="A387" s="151"/>
      <c r="B387" s="151"/>
      <c r="C387" s="151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</row>
    <row r="388" spans="1:13" ht="12.75" customHeight="1" x14ac:dyDescent="0.2">
      <c r="A388" s="151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</row>
    <row r="389" spans="1:13" ht="12.75" customHeight="1" x14ac:dyDescent="0.2">
      <c r="A389" s="151"/>
      <c r="B389" s="151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</row>
    <row r="390" spans="1:13" ht="12.75" customHeight="1" x14ac:dyDescent="0.2">
      <c r="A390" s="151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</row>
    <row r="391" spans="1:13" ht="12.75" customHeight="1" x14ac:dyDescent="0.2">
      <c r="A391" s="151"/>
      <c r="B391" s="151"/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</row>
    <row r="392" spans="1:13" ht="12.75" customHeight="1" x14ac:dyDescent="0.2">
      <c r="A392" s="151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</row>
    <row r="393" spans="1:13" ht="12.75" customHeight="1" x14ac:dyDescent="0.2">
      <c r="A393" s="151"/>
      <c r="B393" s="151"/>
      <c r="C393" s="151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</row>
    <row r="394" spans="1:13" ht="12.75" customHeight="1" x14ac:dyDescent="0.2">
      <c r="A394" s="151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</row>
    <row r="395" spans="1:13" ht="12.75" customHeight="1" x14ac:dyDescent="0.2">
      <c r="A395" s="151"/>
      <c r="B395" s="151"/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</row>
    <row r="396" spans="1:13" ht="12.75" customHeight="1" x14ac:dyDescent="0.2">
      <c r="A396" s="151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</row>
    <row r="397" spans="1:13" ht="12.75" customHeight="1" x14ac:dyDescent="0.2">
      <c r="A397" s="151"/>
      <c r="B397" s="151"/>
      <c r="C397" s="151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</row>
    <row r="398" spans="1:13" ht="12.75" customHeight="1" x14ac:dyDescent="0.2">
      <c r="A398" s="151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</row>
    <row r="399" spans="1:13" ht="12.75" customHeight="1" x14ac:dyDescent="0.2">
      <c r="A399" s="151"/>
      <c r="B399" s="151"/>
      <c r="C399" s="151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</row>
    <row r="400" spans="1:13" ht="12.75" customHeight="1" x14ac:dyDescent="0.2">
      <c r="A400" s="151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</row>
    <row r="401" spans="1:13" ht="12.75" customHeight="1" x14ac:dyDescent="0.2">
      <c r="A401" s="151"/>
      <c r="B401" s="151"/>
      <c r="C401" s="151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</row>
    <row r="402" spans="1:13" ht="12.75" customHeight="1" x14ac:dyDescent="0.2">
      <c r="A402" s="151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</row>
    <row r="403" spans="1:13" ht="12.75" customHeight="1" x14ac:dyDescent="0.2">
      <c r="A403" s="151"/>
      <c r="B403" s="151"/>
      <c r="C403" s="151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</row>
    <row r="404" spans="1:13" ht="12.75" customHeight="1" x14ac:dyDescent="0.2">
      <c r="A404" s="151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</row>
    <row r="405" spans="1:13" ht="12.75" customHeight="1" x14ac:dyDescent="0.2">
      <c r="A405" s="151"/>
      <c r="B405" s="151"/>
      <c r="C405" s="151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</row>
    <row r="406" spans="1:13" ht="12.75" customHeight="1" x14ac:dyDescent="0.2">
      <c r="A406" s="151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</row>
    <row r="407" spans="1:13" ht="12.75" customHeight="1" x14ac:dyDescent="0.2">
      <c r="A407" s="151"/>
      <c r="B407" s="151"/>
      <c r="C407" s="151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</row>
    <row r="408" spans="1:13" ht="12.75" customHeight="1" x14ac:dyDescent="0.2">
      <c r="A408" s="151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</row>
    <row r="409" spans="1:13" ht="12.75" customHeight="1" x14ac:dyDescent="0.2">
      <c r="A409" s="151"/>
      <c r="B409" s="15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</row>
    <row r="410" spans="1:13" ht="12.75" customHeight="1" x14ac:dyDescent="0.2">
      <c r="A410" s="151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</row>
    <row r="411" spans="1:13" ht="12.75" customHeight="1" x14ac:dyDescent="0.2">
      <c r="A411" s="151"/>
      <c r="B411" s="151"/>
      <c r="C411" s="151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</row>
    <row r="412" spans="1:13" ht="12.75" customHeight="1" x14ac:dyDescent="0.2">
      <c r="A412" s="151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</row>
    <row r="413" spans="1:13" ht="12.75" customHeight="1" x14ac:dyDescent="0.2">
      <c r="A413" s="151"/>
      <c r="B413" s="151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</row>
    <row r="414" spans="1:13" ht="12.75" customHeight="1" x14ac:dyDescent="0.2">
      <c r="A414" s="151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</row>
    <row r="415" spans="1:13" ht="12.75" customHeight="1" x14ac:dyDescent="0.2">
      <c r="A415" s="151"/>
      <c r="B415" s="151"/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</row>
    <row r="416" spans="1:13" ht="12.75" customHeight="1" x14ac:dyDescent="0.2">
      <c r="A416" s="151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</row>
    <row r="417" spans="1:13" ht="12.75" customHeight="1" x14ac:dyDescent="0.2">
      <c r="A417" s="151"/>
      <c r="B417" s="151"/>
      <c r="C417" s="151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</row>
    <row r="418" spans="1:13" ht="12.75" customHeight="1" x14ac:dyDescent="0.2">
      <c r="A418" s="151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</row>
    <row r="419" spans="1:13" ht="12.75" customHeight="1" x14ac:dyDescent="0.2">
      <c r="A419" s="151"/>
      <c r="B419" s="151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</row>
    <row r="420" spans="1:13" ht="12.75" customHeight="1" x14ac:dyDescent="0.2">
      <c r="A420" s="151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</row>
    <row r="421" spans="1:13" ht="12.75" customHeight="1" x14ac:dyDescent="0.2">
      <c r="A421" s="151"/>
      <c r="B421" s="151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</row>
    <row r="422" spans="1:13" ht="12.75" customHeight="1" x14ac:dyDescent="0.2">
      <c r="A422" s="151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</row>
    <row r="423" spans="1:13" ht="12.75" customHeight="1" x14ac:dyDescent="0.2">
      <c r="A423" s="151"/>
      <c r="B423" s="151"/>
      <c r="C423" s="151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</row>
    <row r="424" spans="1:13" ht="12.75" customHeight="1" x14ac:dyDescent="0.2">
      <c r="A424" s="151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</row>
    <row r="425" spans="1:13" ht="12.75" customHeight="1" x14ac:dyDescent="0.2">
      <c r="A425" s="151"/>
      <c r="B425" s="151"/>
      <c r="C425" s="151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</row>
    <row r="426" spans="1:13" ht="12.75" customHeight="1" x14ac:dyDescent="0.2">
      <c r="A426" s="151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</row>
    <row r="427" spans="1:13" ht="12.75" customHeight="1" x14ac:dyDescent="0.2">
      <c r="A427" s="151"/>
      <c r="B427" s="15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</row>
    <row r="428" spans="1:13" ht="12.75" customHeight="1" x14ac:dyDescent="0.2">
      <c r="A428" s="151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</row>
    <row r="429" spans="1:13" ht="12.75" customHeight="1" x14ac:dyDescent="0.2">
      <c r="A429" s="151"/>
      <c r="B429" s="151"/>
      <c r="C429" s="151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</row>
    <row r="430" spans="1:13" ht="12.75" customHeight="1" x14ac:dyDescent="0.2">
      <c r="A430" s="151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</row>
    <row r="431" spans="1:13" ht="12.75" customHeight="1" x14ac:dyDescent="0.2">
      <c r="A431" s="151"/>
      <c r="B431" s="151"/>
      <c r="C431" s="151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</row>
    <row r="432" spans="1:13" ht="12.75" customHeight="1" x14ac:dyDescent="0.2">
      <c r="A432" s="151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</row>
    <row r="433" spans="1:13" ht="12.75" customHeight="1" x14ac:dyDescent="0.2">
      <c r="A433" s="151"/>
      <c r="B433" s="151"/>
      <c r="C433" s="151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</row>
    <row r="434" spans="1:13" ht="12.75" customHeight="1" x14ac:dyDescent="0.2">
      <c r="A434" s="151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</row>
    <row r="435" spans="1:13" ht="12.75" customHeight="1" x14ac:dyDescent="0.2">
      <c r="A435" s="151"/>
      <c r="B435" s="151"/>
      <c r="C435" s="151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</row>
    <row r="436" spans="1:13" ht="12.75" customHeight="1" x14ac:dyDescent="0.2">
      <c r="A436" s="151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</row>
    <row r="437" spans="1:13" ht="12.75" customHeight="1" x14ac:dyDescent="0.2">
      <c r="A437" s="151"/>
      <c r="B437" s="151"/>
      <c r="C437" s="151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</row>
    <row r="438" spans="1:13" ht="12.75" customHeight="1" x14ac:dyDescent="0.2">
      <c r="A438" s="151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</row>
    <row r="439" spans="1:13" ht="12.75" customHeight="1" x14ac:dyDescent="0.2">
      <c r="A439" s="151"/>
      <c r="B439" s="151"/>
      <c r="C439" s="151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</row>
    <row r="440" spans="1:13" ht="12.75" customHeight="1" x14ac:dyDescent="0.2">
      <c r="A440" s="151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</row>
    <row r="441" spans="1:13" ht="12.75" customHeight="1" x14ac:dyDescent="0.2">
      <c r="A441" s="151"/>
      <c r="B441" s="151"/>
      <c r="C441" s="151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</row>
    <row r="442" spans="1:13" ht="12.75" customHeight="1" x14ac:dyDescent="0.2">
      <c r="A442" s="151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</row>
    <row r="443" spans="1:13" ht="12.75" customHeight="1" x14ac:dyDescent="0.2">
      <c r="A443" s="151"/>
      <c r="B443" s="151"/>
      <c r="C443" s="151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</row>
    <row r="444" spans="1:13" ht="12.75" customHeight="1" x14ac:dyDescent="0.2">
      <c r="A444" s="151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</row>
    <row r="445" spans="1:13" ht="12.75" customHeight="1" x14ac:dyDescent="0.2">
      <c r="A445" s="151"/>
      <c r="B445" s="151"/>
      <c r="C445" s="151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</row>
    <row r="446" spans="1:13" ht="12.75" customHeight="1" x14ac:dyDescent="0.2">
      <c r="A446" s="151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</row>
    <row r="447" spans="1:13" ht="12.75" customHeight="1" x14ac:dyDescent="0.2">
      <c r="A447" s="151"/>
      <c r="B447" s="151"/>
      <c r="C447" s="151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</row>
    <row r="448" spans="1:13" ht="12.75" customHeight="1" x14ac:dyDescent="0.2">
      <c r="A448" s="151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</row>
    <row r="449" spans="1:13" ht="12.75" customHeight="1" x14ac:dyDescent="0.2">
      <c r="A449" s="151"/>
      <c r="B449" s="151"/>
      <c r="C449" s="151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</row>
    <row r="450" spans="1:13" ht="12.75" customHeight="1" x14ac:dyDescent="0.2">
      <c r="A450" s="151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</row>
    <row r="451" spans="1:13" ht="12.75" customHeight="1" x14ac:dyDescent="0.2">
      <c r="A451" s="151"/>
      <c r="B451" s="151"/>
      <c r="C451" s="151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</row>
    <row r="452" spans="1:13" ht="12.75" customHeight="1" x14ac:dyDescent="0.2">
      <c r="A452" s="151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</row>
    <row r="453" spans="1:13" ht="12.75" customHeight="1" x14ac:dyDescent="0.2">
      <c r="A453" s="151"/>
      <c r="B453" s="151"/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</row>
    <row r="454" spans="1:13" ht="12.75" customHeight="1" x14ac:dyDescent="0.2">
      <c r="A454" s="151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</row>
    <row r="455" spans="1:13" ht="12.75" customHeight="1" x14ac:dyDescent="0.2">
      <c r="A455" s="151"/>
      <c r="B455" s="151"/>
      <c r="C455" s="151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</row>
    <row r="456" spans="1:13" ht="12.75" customHeight="1" x14ac:dyDescent="0.2">
      <c r="A456" s="151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</row>
    <row r="457" spans="1:13" ht="12.75" customHeight="1" x14ac:dyDescent="0.2">
      <c r="A457" s="151"/>
      <c r="B457" s="151"/>
      <c r="C457" s="151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</row>
    <row r="458" spans="1:13" ht="12.75" customHeight="1" x14ac:dyDescent="0.2">
      <c r="A458" s="151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</row>
    <row r="459" spans="1:13" ht="12.75" customHeight="1" x14ac:dyDescent="0.2">
      <c r="A459" s="151"/>
      <c r="B459" s="151"/>
      <c r="C459" s="151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</row>
    <row r="460" spans="1:13" ht="12.75" customHeight="1" x14ac:dyDescent="0.2">
      <c r="A460" s="151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</row>
    <row r="461" spans="1:13" ht="12.75" customHeight="1" x14ac:dyDescent="0.2">
      <c r="A461" s="151"/>
      <c r="B461" s="151"/>
      <c r="C461" s="151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</row>
    <row r="462" spans="1:13" ht="12.75" customHeight="1" x14ac:dyDescent="0.2">
      <c r="A462" s="151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</row>
    <row r="463" spans="1:13" ht="12.75" customHeight="1" x14ac:dyDescent="0.2">
      <c r="A463" s="151"/>
      <c r="B463" s="151"/>
      <c r="C463" s="151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</row>
    <row r="464" spans="1:13" ht="12.75" customHeight="1" x14ac:dyDescent="0.2">
      <c r="A464" s="151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</row>
    <row r="465" spans="1:13" ht="12.75" customHeight="1" x14ac:dyDescent="0.2">
      <c r="A465" s="151"/>
      <c r="B465" s="151"/>
      <c r="C465" s="151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</row>
    <row r="466" spans="1:13" ht="12.75" customHeight="1" x14ac:dyDescent="0.2">
      <c r="A466" s="151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</row>
    <row r="467" spans="1:13" ht="12.75" customHeight="1" x14ac:dyDescent="0.2">
      <c r="A467" s="151"/>
      <c r="B467" s="151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</row>
    <row r="468" spans="1:13" ht="12.75" customHeight="1" x14ac:dyDescent="0.2">
      <c r="A468" s="151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</row>
    <row r="469" spans="1:13" ht="12.75" customHeight="1" x14ac:dyDescent="0.2">
      <c r="A469" s="151"/>
      <c r="B469" s="151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</row>
    <row r="470" spans="1:13" ht="12.75" customHeight="1" x14ac:dyDescent="0.2">
      <c r="A470" s="151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</row>
    <row r="471" spans="1:13" ht="12.75" customHeight="1" x14ac:dyDescent="0.2">
      <c r="A471" s="151"/>
      <c r="B471" s="151"/>
      <c r="C471" s="151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</row>
    <row r="472" spans="1:13" ht="12.75" customHeight="1" x14ac:dyDescent="0.2">
      <c r="A472" s="151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</row>
    <row r="473" spans="1:13" ht="12.75" customHeight="1" x14ac:dyDescent="0.2">
      <c r="A473" s="151"/>
      <c r="B473" s="151"/>
      <c r="C473" s="151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</row>
    <row r="474" spans="1:13" ht="12.75" customHeight="1" x14ac:dyDescent="0.2">
      <c r="A474" s="151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</row>
    <row r="475" spans="1:13" ht="12.75" customHeight="1" x14ac:dyDescent="0.2">
      <c r="A475" s="151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</row>
    <row r="476" spans="1:13" ht="12.75" customHeight="1" x14ac:dyDescent="0.2">
      <c r="A476" s="151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</row>
    <row r="477" spans="1:13" ht="12.75" customHeight="1" x14ac:dyDescent="0.2">
      <c r="A477" s="151"/>
      <c r="B477" s="151"/>
      <c r="C477" s="151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</row>
    <row r="478" spans="1:13" ht="12.75" customHeight="1" x14ac:dyDescent="0.2">
      <c r="A478" s="151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</row>
    <row r="479" spans="1:13" ht="12.75" customHeight="1" x14ac:dyDescent="0.2">
      <c r="A479" s="151"/>
      <c r="B479" s="151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</row>
    <row r="480" spans="1:13" ht="12.75" customHeight="1" x14ac:dyDescent="0.2">
      <c r="A480" s="151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</row>
    <row r="481" spans="1:13" ht="12.75" customHeight="1" x14ac:dyDescent="0.2">
      <c r="A481" s="151"/>
      <c r="B481" s="151"/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</row>
    <row r="482" spans="1:13" ht="12.75" customHeight="1" x14ac:dyDescent="0.2">
      <c r="A482" s="151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</row>
    <row r="483" spans="1:13" ht="12.75" customHeight="1" x14ac:dyDescent="0.2">
      <c r="A483" s="151"/>
      <c r="B483" s="151"/>
      <c r="C483" s="151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</row>
    <row r="484" spans="1:13" ht="12.75" customHeight="1" x14ac:dyDescent="0.2">
      <c r="A484" s="151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</row>
    <row r="485" spans="1:13" ht="12.75" customHeight="1" x14ac:dyDescent="0.2">
      <c r="A485" s="151"/>
      <c r="B485" s="151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</row>
    <row r="486" spans="1:13" ht="12.75" customHeight="1" x14ac:dyDescent="0.2">
      <c r="A486" s="151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</row>
    <row r="487" spans="1:13" ht="12.75" customHeight="1" x14ac:dyDescent="0.2">
      <c r="A487" s="151"/>
      <c r="B487" s="151"/>
      <c r="C487" s="151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</row>
    <row r="488" spans="1:13" ht="12.75" customHeight="1" x14ac:dyDescent="0.2">
      <c r="A488" s="151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</row>
    <row r="489" spans="1:13" ht="12.75" customHeight="1" x14ac:dyDescent="0.2">
      <c r="A489" s="151"/>
      <c r="B489" s="151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</row>
    <row r="490" spans="1:13" ht="12.75" customHeight="1" x14ac:dyDescent="0.2">
      <c r="A490" s="151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</row>
    <row r="491" spans="1:13" ht="12.75" customHeight="1" x14ac:dyDescent="0.2">
      <c r="A491" s="151"/>
      <c r="B491" s="151"/>
      <c r="C491" s="151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</row>
    <row r="492" spans="1:13" ht="12.75" customHeight="1" x14ac:dyDescent="0.2">
      <c r="A492" s="151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</row>
    <row r="493" spans="1:13" ht="12.75" customHeight="1" x14ac:dyDescent="0.2">
      <c r="A493" s="151"/>
      <c r="B493" s="151"/>
      <c r="C493" s="151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</row>
    <row r="494" spans="1:13" ht="12.75" customHeight="1" x14ac:dyDescent="0.2">
      <c r="A494" s="151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</row>
    <row r="495" spans="1:13" ht="12.75" customHeight="1" x14ac:dyDescent="0.2">
      <c r="A495" s="151"/>
      <c r="B495" s="151"/>
      <c r="C495" s="151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</row>
    <row r="496" spans="1:13" ht="12.75" customHeight="1" x14ac:dyDescent="0.2">
      <c r="A496" s="151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</row>
    <row r="497" spans="1:13" ht="12.75" customHeight="1" x14ac:dyDescent="0.2">
      <c r="A497" s="151"/>
      <c r="B497" s="151"/>
      <c r="C497" s="151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</row>
    <row r="498" spans="1:13" ht="12.75" customHeight="1" x14ac:dyDescent="0.2">
      <c r="A498" s="151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</row>
    <row r="499" spans="1:13" ht="12.75" customHeight="1" x14ac:dyDescent="0.2">
      <c r="A499" s="151"/>
      <c r="B499" s="151"/>
      <c r="C499" s="151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</row>
    <row r="500" spans="1:13" ht="12.75" customHeight="1" x14ac:dyDescent="0.2">
      <c r="A500" s="151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</row>
    <row r="501" spans="1:13" ht="12.75" customHeight="1" x14ac:dyDescent="0.2">
      <c r="A501" s="151"/>
      <c r="B501" s="151"/>
      <c r="C501" s="151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</row>
    <row r="502" spans="1:13" ht="12.75" customHeight="1" x14ac:dyDescent="0.2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</row>
    <row r="503" spans="1:13" ht="12.75" customHeight="1" x14ac:dyDescent="0.2">
      <c r="A503" s="151"/>
      <c r="B503" s="151"/>
      <c r="C503" s="151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</row>
    <row r="504" spans="1:13" ht="12.75" customHeight="1" x14ac:dyDescent="0.2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</row>
    <row r="505" spans="1:13" ht="12.75" customHeight="1" x14ac:dyDescent="0.2">
      <c r="A505" s="151"/>
      <c r="B505" s="151"/>
      <c r="C505" s="151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</row>
    <row r="506" spans="1:13" ht="12.75" customHeight="1" x14ac:dyDescent="0.2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</row>
    <row r="507" spans="1:13" ht="12.75" customHeight="1" x14ac:dyDescent="0.2">
      <c r="A507" s="151"/>
      <c r="B507" s="151"/>
      <c r="C507" s="151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</row>
    <row r="508" spans="1:13" ht="12.75" customHeight="1" x14ac:dyDescent="0.2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</row>
    <row r="509" spans="1:13" ht="12.75" customHeight="1" x14ac:dyDescent="0.2">
      <c r="A509" s="151"/>
      <c r="B509" s="151"/>
      <c r="C509" s="151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</row>
    <row r="510" spans="1:13" ht="12.75" customHeight="1" x14ac:dyDescent="0.2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</row>
    <row r="511" spans="1:13" ht="12.75" customHeight="1" x14ac:dyDescent="0.2">
      <c r="A511" s="151"/>
      <c r="B511" s="151"/>
      <c r="C511" s="151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</row>
    <row r="512" spans="1:13" ht="12.75" customHeight="1" x14ac:dyDescent="0.2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</row>
    <row r="513" spans="1:13" ht="12.75" customHeight="1" x14ac:dyDescent="0.2">
      <c r="A513" s="151"/>
      <c r="B513" s="151"/>
      <c r="C513" s="151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</row>
    <row r="514" spans="1:13" ht="12.75" customHeight="1" x14ac:dyDescent="0.2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</row>
    <row r="515" spans="1:13" ht="12.75" customHeight="1" x14ac:dyDescent="0.2">
      <c r="A515" s="151"/>
      <c r="B515" s="151"/>
      <c r="C515" s="151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</row>
    <row r="516" spans="1:13" ht="12.75" customHeight="1" x14ac:dyDescent="0.2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</row>
    <row r="517" spans="1:13" ht="12.75" customHeight="1" x14ac:dyDescent="0.2">
      <c r="A517" s="151"/>
      <c r="B517" s="151"/>
      <c r="C517" s="151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</row>
    <row r="518" spans="1:13" ht="12.75" customHeight="1" x14ac:dyDescent="0.2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</row>
    <row r="519" spans="1:13" ht="12.75" customHeight="1" x14ac:dyDescent="0.2">
      <c r="A519" s="151"/>
      <c r="B519" s="151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</row>
    <row r="520" spans="1:13" ht="12.75" customHeight="1" x14ac:dyDescent="0.2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</row>
    <row r="521" spans="1:13" ht="12.75" customHeight="1" x14ac:dyDescent="0.2">
      <c r="A521" s="151"/>
      <c r="B521" s="151"/>
      <c r="C521" s="151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</row>
    <row r="522" spans="1:13" ht="12.75" customHeight="1" x14ac:dyDescent="0.2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</row>
    <row r="523" spans="1:13" ht="12.75" customHeight="1" x14ac:dyDescent="0.2">
      <c r="A523" s="151"/>
      <c r="B523" s="151"/>
      <c r="C523" s="151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</row>
    <row r="524" spans="1:13" ht="12.75" customHeight="1" x14ac:dyDescent="0.2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</row>
    <row r="525" spans="1:13" ht="12.75" customHeight="1" x14ac:dyDescent="0.2">
      <c r="A525" s="151"/>
      <c r="B525" s="151"/>
      <c r="C525" s="151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</row>
    <row r="526" spans="1:13" ht="12.75" customHeight="1" x14ac:dyDescent="0.2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</row>
    <row r="527" spans="1:13" ht="12.75" customHeight="1" x14ac:dyDescent="0.2">
      <c r="A527" s="151"/>
      <c r="B527" s="151"/>
      <c r="C527" s="151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</row>
    <row r="528" spans="1:13" ht="12.75" customHeight="1" x14ac:dyDescent="0.2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</row>
    <row r="529" spans="1:13" ht="12.75" customHeight="1" x14ac:dyDescent="0.2">
      <c r="A529" s="151"/>
      <c r="B529" s="151"/>
      <c r="C529" s="151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</row>
    <row r="530" spans="1:13" ht="12.75" customHeight="1" x14ac:dyDescent="0.2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</row>
    <row r="531" spans="1:13" ht="12.75" customHeight="1" x14ac:dyDescent="0.2">
      <c r="A531" s="151"/>
      <c r="B531" s="151"/>
      <c r="C531" s="151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</row>
    <row r="532" spans="1:13" ht="12.75" customHeight="1" x14ac:dyDescent="0.2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</row>
    <row r="533" spans="1:13" ht="12.75" customHeight="1" x14ac:dyDescent="0.2">
      <c r="A533" s="151"/>
      <c r="B533" s="151"/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</row>
    <row r="534" spans="1:13" ht="12.75" customHeight="1" x14ac:dyDescent="0.2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</row>
    <row r="535" spans="1:13" ht="12.75" customHeight="1" x14ac:dyDescent="0.2">
      <c r="A535" s="151"/>
      <c r="B535" s="151"/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</row>
    <row r="536" spans="1:13" ht="12.75" customHeight="1" x14ac:dyDescent="0.2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</row>
    <row r="537" spans="1:13" ht="12.75" customHeight="1" x14ac:dyDescent="0.2">
      <c r="A537" s="151"/>
      <c r="B537" s="151"/>
      <c r="C537" s="151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</row>
    <row r="538" spans="1:13" ht="12.75" customHeight="1" x14ac:dyDescent="0.2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</row>
    <row r="539" spans="1:13" ht="12.75" customHeight="1" x14ac:dyDescent="0.2">
      <c r="A539" s="151"/>
      <c r="B539" s="151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</row>
    <row r="540" spans="1:13" ht="12.75" customHeight="1" x14ac:dyDescent="0.2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</row>
    <row r="541" spans="1:13" ht="12.75" customHeight="1" x14ac:dyDescent="0.2">
      <c r="A541" s="151"/>
      <c r="B541" s="151"/>
      <c r="C541" s="151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</row>
    <row r="542" spans="1:13" ht="12.75" customHeight="1" x14ac:dyDescent="0.2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</row>
    <row r="543" spans="1:13" ht="12.75" customHeight="1" x14ac:dyDescent="0.2">
      <c r="A543" s="151"/>
      <c r="B543" s="151"/>
      <c r="C543" s="151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</row>
    <row r="544" spans="1:13" ht="12.75" customHeight="1" x14ac:dyDescent="0.2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</row>
    <row r="545" spans="1:13" ht="12.75" customHeight="1" x14ac:dyDescent="0.2">
      <c r="A545" s="151"/>
      <c r="B545" s="151"/>
      <c r="C545" s="151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</row>
    <row r="546" spans="1:13" ht="12.75" customHeight="1" x14ac:dyDescent="0.2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</row>
    <row r="547" spans="1:13" ht="12.75" customHeight="1" x14ac:dyDescent="0.2">
      <c r="A547" s="151"/>
      <c r="B547" s="151"/>
      <c r="C547" s="151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</row>
    <row r="548" spans="1:13" ht="12.75" customHeight="1" x14ac:dyDescent="0.2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</row>
    <row r="549" spans="1:13" ht="12.75" customHeight="1" x14ac:dyDescent="0.2">
      <c r="A549" s="151"/>
      <c r="B549" s="151"/>
      <c r="C549" s="151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</row>
    <row r="550" spans="1:13" ht="12.75" customHeight="1" x14ac:dyDescent="0.2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</row>
    <row r="551" spans="1:13" ht="12.75" customHeight="1" x14ac:dyDescent="0.2">
      <c r="A551" s="151"/>
      <c r="B551" s="15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</row>
    <row r="552" spans="1:13" ht="12.75" customHeight="1" x14ac:dyDescent="0.2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</row>
    <row r="553" spans="1:13" ht="12.75" customHeight="1" x14ac:dyDescent="0.2">
      <c r="A553" s="151"/>
      <c r="B553" s="151"/>
      <c r="C553" s="151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</row>
    <row r="554" spans="1:13" ht="12.75" customHeight="1" x14ac:dyDescent="0.2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</row>
    <row r="555" spans="1:13" ht="12.75" customHeight="1" x14ac:dyDescent="0.2">
      <c r="A555" s="151"/>
      <c r="B555" s="151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</row>
    <row r="556" spans="1:13" ht="12.75" customHeight="1" x14ac:dyDescent="0.2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</row>
    <row r="557" spans="1:13" ht="12.75" customHeight="1" x14ac:dyDescent="0.2">
      <c r="A557" s="151"/>
      <c r="B557" s="151"/>
      <c r="C557" s="151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</row>
    <row r="558" spans="1:13" ht="12.75" customHeight="1" x14ac:dyDescent="0.2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</row>
    <row r="559" spans="1:13" ht="12.75" customHeight="1" x14ac:dyDescent="0.2">
      <c r="A559" s="151"/>
      <c r="B559" s="151"/>
      <c r="C559" s="151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</row>
    <row r="560" spans="1:13" ht="12.75" customHeight="1" x14ac:dyDescent="0.2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</row>
    <row r="561" spans="1:13" ht="12.75" customHeight="1" x14ac:dyDescent="0.2">
      <c r="A561" s="151"/>
      <c r="B561" s="151"/>
      <c r="C561" s="151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</row>
    <row r="562" spans="1:13" ht="12.75" customHeight="1" x14ac:dyDescent="0.2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</row>
    <row r="563" spans="1:13" ht="12.75" customHeight="1" x14ac:dyDescent="0.2">
      <c r="A563" s="151"/>
      <c r="B563" s="151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</row>
    <row r="564" spans="1:13" ht="12.75" customHeight="1" x14ac:dyDescent="0.2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</row>
    <row r="565" spans="1:13" ht="12.75" customHeight="1" x14ac:dyDescent="0.2">
      <c r="A565" s="151"/>
      <c r="B565" s="151"/>
      <c r="C565" s="151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</row>
    <row r="566" spans="1:13" ht="12.75" customHeight="1" x14ac:dyDescent="0.2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</row>
    <row r="567" spans="1:13" ht="12.75" customHeight="1" x14ac:dyDescent="0.2">
      <c r="A567" s="151"/>
      <c r="B567" s="151"/>
      <c r="C567" s="151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</row>
    <row r="568" spans="1:13" ht="12.75" customHeight="1" x14ac:dyDescent="0.2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</row>
    <row r="569" spans="1:13" ht="12.75" customHeight="1" x14ac:dyDescent="0.2">
      <c r="A569" s="151"/>
      <c r="B569" s="151"/>
      <c r="C569" s="151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</row>
    <row r="570" spans="1:13" ht="12.75" customHeight="1" x14ac:dyDescent="0.2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</row>
    <row r="571" spans="1:13" ht="12.75" customHeight="1" x14ac:dyDescent="0.2">
      <c r="A571" s="151"/>
      <c r="B571" s="151"/>
      <c r="C571" s="151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</row>
    <row r="572" spans="1:13" ht="12.75" customHeight="1" x14ac:dyDescent="0.2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</row>
    <row r="573" spans="1:13" ht="12.75" customHeight="1" x14ac:dyDescent="0.2">
      <c r="A573" s="151"/>
      <c r="B573" s="151"/>
      <c r="C573" s="151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</row>
    <row r="574" spans="1:13" ht="12.75" customHeight="1" x14ac:dyDescent="0.2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</row>
    <row r="575" spans="1:13" ht="12.75" customHeight="1" x14ac:dyDescent="0.2">
      <c r="A575" s="151"/>
      <c r="B575" s="151"/>
      <c r="C575" s="151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</row>
    <row r="576" spans="1:13" ht="12.75" customHeight="1" x14ac:dyDescent="0.2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</row>
    <row r="577" spans="1:13" ht="12.75" customHeight="1" x14ac:dyDescent="0.2">
      <c r="A577" s="151"/>
      <c r="B577" s="151"/>
      <c r="C577" s="151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</row>
    <row r="578" spans="1:13" ht="12.75" customHeight="1" x14ac:dyDescent="0.2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</row>
    <row r="579" spans="1:13" ht="12.75" customHeight="1" x14ac:dyDescent="0.2">
      <c r="A579" s="151"/>
      <c r="B579" s="151"/>
      <c r="C579" s="151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</row>
    <row r="580" spans="1:13" ht="12.75" customHeight="1" x14ac:dyDescent="0.2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</row>
    <row r="581" spans="1:13" ht="12.75" customHeight="1" x14ac:dyDescent="0.2">
      <c r="A581" s="151"/>
      <c r="B581" s="151"/>
      <c r="C581" s="151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</row>
    <row r="582" spans="1:13" ht="12.75" customHeight="1" x14ac:dyDescent="0.2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</row>
    <row r="583" spans="1:13" ht="12.75" customHeight="1" x14ac:dyDescent="0.2">
      <c r="A583" s="151"/>
      <c r="B583" s="151"/>
      <c r="C583" s="151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</row>
    <row r="584" spans="1:13" ht="12.75" customHeight="1" x14ac:dyDescent="0.2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</row>
    <row r="585" spans="1:13" ht="12.75" customHeight="1" x14ac:dyDescent="0.2">
      <c r="A585" s="151"/>
      <c r="B585" s="151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</row>
    <row r="586" spans="1:13" ht="12.75" customHeight="1" x14ac:dyDescent="0.2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</row>
    <row r="587" spans="1:13" ht="12.75" customHeight="1" x14ac:dyDescent="0.2">
      <c r="A587" s="151"/>
      <c r="B587" s="151"/>
      <c r="C587" s="151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</row>
    <row r="588" spans="1:13" ht="12.75" customHeight="1" x14ac:dyDescent="0.2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</row>
    <row r="589" spans="1:13" ht="12.75" customHeight="1" x14ac:dyDescent="0.2">
      <c r="A589" s="151"/>
      <c r="B589" s="151"/>
      <c r="C589" s="151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</row>
    <row r="590" spans="1:13" ht="12.75" customHeight="1" x14ac:dyDescent="0.2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</row>
    <row r="591" spans="1:13" ht="12.75" customHeight="1" x14ac:dyDescent="0.2">
      <c r="A591" s="151"/>
      <c r="B591" s="151"/>
      <c r="C591" s="151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</row>
    <row r="592" spans="1:13" ht="12.75" customHeight="1" x14ac:dyDescent="0.2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</row>
    <row r="593" spans="1:13" ht="12.75" customHeight="1" x14ac:dyDescent="0.2">
      <c r="A593" s="151"/>
      <c r="B593" s="151"/>
      <c r="C593" s="151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</row>
    <row r="594" spans="1:13" ht="12.75" customHeight="1" x14ac:dyDescent="0.2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</row>
    <row r="595" spans="1:13" ht="12.75" customHeight="1" x14ac:dyDescent="0.2">
      <c r="A595" s="151"/>
      <c r="B595" s="151"/>
      <c r="C595" s="151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</row>
    <row r="596" spans="1:13" ht="12.75" customHeight="1" x14ac:dyDescent="0.2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</row>
    <row r="597" spans="1:13" ht="12.75" customHeight="1" x14ac:dyDescent="0.2">
      <c r="A597" s="151"/>
      <c r="B597" s="151"/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</row>
    <row r="598" spans="1:13" ht="12.75" customHeight="1" x14ac:dyDescent="0.2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</row>
    <row r="599" spans="1:13" ht="12.75" customHeight="1" x14ac:dyDescent="0.2">
      <c r="A599" s="151"/>
      <c r="B599" s="151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</row>
    <row r="600" spans="1:13" ht="12.75" customHeight="1" x14ac:dyDescent="0.2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</row>
    <row r="601" spans="1:13" ht="12.75" customHeight="1" x14ac:dyDescent="0.2">
      <c r="A601" s="151"/>
      <c r="B601" s="151"/>
      <c r="C601" s="151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</row>
    <row r="602" spans="1:13" ht="12.75" customHeight="1" x14ac:dyDescent="0.2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</row>
    <row r="603" spans="1:13" ht="12.75" customHeight="1" x14ac:dyDescent="0.2">
      <c r="A603" s="151"/>
      <c r="B603" s="151"/>
      <c r="C603" s="151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</row>
    <row r="604" spans="1:13" ht="12.75" customHeight="1" x14ac:dyDescent="0.2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</row>
    <row r="605" spans="1:13" ht="12.75" customHeight="1" x14ac:dyDescent="0.2">
      <c r="A605" s="151"/>
      <c r="B605" s="151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</row>
    <row r="606" spans="1:13" ht="12.75" customHeight="1" x14ac:dyDescent="0.2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</row>
    <row r="607" spans="1:13" ht="12.75" customHeight="1" x14ac:dyDescent="0.2">
      <c r="A607" s="151"/>
      <c r="B607" s="151"/>
      <c r="C607" s="151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</row>
    <row r="608" spans="1:13" ht="12.75" customHeight="1" x14ac:dyDescent="0.2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</row>
    <row r="609" spans="1:13" ht="12.75" customHeight="1" x14ac:dyDescent="0.2">
      <c r="A609" s="151"/>
      <c r="B609" s="151"/>
      <c r="C609" s="151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</row>
    <row r="610" spans="1:13" ht="12.75" customHeight="1" x14ac:dyDescent="0.2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</row>
    <row r="611" spans="1:13" ht="12.75" customHeight="1" x14ac:dyDescent="0.2">
      <c r="A611" s="151"/>
      <c r="B611" s="151"/>
      <c r="C611" s="151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</row>
    <row r="612" spans="1:13" ht="12.75" customHeight="1" x14ac:dyDescent="0.2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</row>
    <row r="613" spans="1:13" ht="12.75" customHeight="1" x14ac:dyDescent="0.2">
      <c r="A613" s="151"/>
      <c r="B613" s="151"/>
      <c r="C613" s="151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</row>
    <row r="614" spans="1:13" ht="12.75" customHeight="1" x14ac:dyDescent="0.2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</row>
    <row r="615" spans="1:13" ht="12.75" customHeight="1" x14ac:dyDescent="0.2">
      <c r="A615" s="151"/>
      <c r="B615" s="151"/>
      <c r="C615" s="151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</row>
    <row r="616" spans="1:13" ht="12.75" customHeight="1" x14ac:dyDescent="0.2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</row>
    <row r="617" spans="1:13" ht="12.75" customHeight="1" x14ac:dyDescent="0.2">
      <c r="A617" s="151"/>
      <c r="B617" s="151"/>
      <c r="C617" s="151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</row>
    <row r="618" spans="1:13" ht="12.75" customHeight="1" x14ac:dyDescent="0.2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</row>
    <row r="619" spans="1:13" ht="12.75" customHeight="1" x14ac:dyDescent="0.2">
      <c r="A619" s="151"/>
      <c r="B619" s="151"/>
      <c r="C619" s="151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</row>
    <row r="620" spans="1:13" ht="12.75" customHeight="1" x14ac:dyDescent="0.2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</row>
    <row r="621" spans="1:13" ht="12.75" customHeight="1" x14ac:dyDescent="0.2">
      <c r="A621" s="151"/>
      <c r="B621" s="151"/>
      <c r="C621" s="151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</row>
    <row r="622" spans="1:13" ht="12.75" customHeight="1" x14ac:dyDescent="0.2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</row>
    <row r="623" spans="1:13" ht="12.75" customHeight="1" x14ac:dyDescent="0.2">
      <c r="A623" s="151"/>
      <c r="B623" s="151"/>
      <c r="C623" s="151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</row>
    <row r="624" spans="1:13" ht="12.75" customHeight="1" x14ac:dyDescent="0.2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</row>
    <row r="625" spans="1:13" ht="12.75" customHeight="1" x14ac:dyDescent="0.2">
      <c r="A625" s="151"/>
      <c r="B625" s="151"/>
      <c r="C625" s="151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</row>
    <row r="626" spans="1:13" ht="12.75" customHeight="1" x14ac:dyDescent="0.2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</row>
    <row r="627" spans="1:13" ht="12.75" customHeight="1" x14ac:dyDescent="0.2">
      <c r="A627" s="151"/>
      <c r="B627" s="151"/>
      <c r="C627" s="151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</row>
    <row r="628" spans="1:13" ht="12.75" customHeight="1" x14ac:dyDescent="0.2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</row>
    <row r="629" spans="1:13" ht="12.75" customHeight="1" x14ac:dyDescent="0.2">
      <c r="A629" s="151"/>
      <c r="B629" s="151"/>
      <c r="C629" s="151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</row>
    <row r="630" spans="1:13" ht="12.75" customHeight="1" x14ac:dyDescent="0.2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</row>
    <row r="631" spans="1:13" ht="12.75" customHeight="1" x14ac:dyDescent="0.2">
      <c r="A631" s="151"/>
      <c r="B631" s="151"/>
      <c r="C631" s="151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</row>
    <row r="632" spans="1:13" ht="12.75" customHeight="1" x14ac:dyDescent="0.2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</row>
    <row r="633" spans="1:13" ht="12.75" customHeight="1" x14ac:dyDescent="0.2">
      <c r="A633" s="151"/>
      <c r="B633" s="151"/>
      <c r="C633" s="151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</row>
    <row r="634" spans="1:13" ht="12.75" customHeight="1" x14ac:dyDescent="0.2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</row>
    <row r="635" spans="1:13" ht="12.75" customHeight="1" x14ac:dyDescent="0.2">
      <c r="A635" s="151"/>
      <c r="B635" s="151"/>
      <c r="C635" s="151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</row>
    <row r="636" spans="1:13" ht="12.75" customHeight="1" x14ac:dyDescent="0.2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</row>
    <row r="637" spans="1:13" ht="12.75" customHeight="1" x14ac:dyDescent="0.2">
      <c r="A637" s="151"/>
      <c r="B637" s="151"/>
      <c r="C637" s="151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</row>
    <row r="638" spans="1:13" ht="12.75" customHeight="1" x14ac:dyDescent="0.2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</row>
    <row r="639" spans="1:13" ht="12.75" customHeight="1" x14ac:dyDescent="0.2">
      <c r="A639" s="151"/>
      <c r="B639" s="151"/>
      <c r="C639" s="151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</row>
    <row r="640" spans="1:13" ht="12.75" customHeight="1" x14ac:dyDescent="0.2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</row>
    <row r="641" spans="1:13" ht="12.75" customHeight="1" x14ac:dyDescent="0.2">
      <c r="A641" s="151"/>
      <c r="B641" s="151"/>
      <c r="C641" s="151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</row>
    <row r="642" spans="1:13" ht="12.75" customHeight="1" x14ac:dyDescent="0.2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</row>
    <row r="643" spans="1:13" ht="12.75" customHeight="1" x14ac:dyDescent="0.2">
      <c r="A643" s="151"/>
      <c r="B643" s="151"/>
      <c r="C643" s="151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</row>
    <row r="644" spans="1:13" ht="12.75" customHeight="1" x14ac:dyDescent="0.2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</row>
    <row r="645" spans="1:13" ht="12.75" customHeight="1" x14ac:dyDescent="0.2">
      <c r="A645" s="151"/>
      <c r="B645" s="151"/>
      <c r="C645" s="151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</row>
    <row r="646" spans="1:13" ht="12.75" customHeight="1" x14ac:dyDescent="0.2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</row>
    <row r="647" spans="1:13" ht="12.75" customHeight="1" x14ac:dyDescent="0.2">
      <c r="A647" s="151"/>
      <c r="B647" s="151"/>
      <c r="C647" s="151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</row>
    <row r="648" spans="1:13" ht="12.75" customHeight="1" x14ac:dyDescent="0.2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</row>
    <row r="649" spans="1:13" ht="12.75" customHeight="1" x14ac:dyDescent="0.2">
      <c r="A649" s="151"/>
      <c r="B649" s="151"/>
      <c r="C649" s="151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</row>
    <row r="650" spans="1:13" ht="12.75" customHeight="1" x14ac:dyDescent="0.2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</row>
    <row r="651" spans="1:13" ht="12.75" customHeight="1" x14ac:dyDescent="0.2">
      <c r="A651" s="151"/>
      <c r="B651" s="151"/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</row>
    <row r="652" spans="1:13" ht="12.75" customHeight="1" x14ac:dyDescent="0.2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</row>
    <row r="653" spans="1:13" ht="12.75" customHeight="1" x14ac:dyDescent="0.2">
      <c r="A653" s="151"/>
      <c r="B653" s="151"/>
      <c r="C653" s="151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</row>
    <row r="654" spans="1:13" ht="12.75" customHeight="1" x14ac:dyDescent="0.2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</row>
    <row r="655" spans="1:13" ht="12.75" customHeight="1" x14ac:dyDescent="0.2">
      <c r="A655" s="151"/>
      <c r="B655" s="151"/>
      <c r="C655" s="151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</row>
    <row r="656" spans="1:13" ht="12.75" customHeight="1" x14ac:dyDescent="0.2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</row>
    <row r="657" spans="1:13" ht="12.75" customHeight="1" x14ac:dyDescent="0.2">
      <c r="A657" s="151"/>
      <c r="B657" s="151"/>
      <c r="C657" s="151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</row>
    <row r="658" spans="1:13" ht="12.75" customHeight="1" x14ac:dyDescent="0.2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</row>
    <row r="659" spans="1:13" ht="12.75" customHeight="1" x14ac:dyDescent="0.2">
      <c r="A659" s="151"/>
      <c r="B659" s="151"/>
      <c r="C659" s="151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</row>
    <row r="660" spans="1:13" ht="12.75" customHeight="1" x14ac:dyDescent="0.2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</row>
    <row r="661" spans="1:13" ht="12.75" customHeight="1" x14ac:dyDescent="0.2">
      <c r="A661" s="151"/>
      <c r="B661" s="151"/>
      <c r="C661" s="151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</row>
    <row r="662" spans="1:13" ht="12.75" customHeight="1" x14ac:dyDescent="0.2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</row>
    <row r="663" spans="1:13" ht="12.75" customHeight="1" x14ac:dyDescent="0.2">
      <c r="A663" s="151"/>
      <c r="B663" s="151"/>
      <c r="C663" s="151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</row>
    <row r="664" spans="1:13" ht="12.75" customHeight="1" x14ac:dyDescent="0.2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</row>
    <row r="665" spans="1:13" ht="12.75" customHeight="1" x14ac:dyDescent="0.2">
      <c r="A665" s="151"/>
      <c r="B665" s="151"/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</row>
    <row r="666" spans="1:13" ht="12.75" customHeight="1" x14ac:dyDescent="0.2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</row>
    <row r="667" spans="1:13" ht="12.75" customHeight="1" x14ac:dyDescent="0.2">
      <c r="A667" s="151"/>
      <c r="B667" s="151"/>
      <c r="C667" s="151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</row>
    <row r="668" spans="1:13" ht="12.75" customHeight="1" x14ac:dyDescent="0.2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</row>
    <row r="669" spans="1:13" ht="12.75" customHeight="1" x14ac:dyDescent="0.2">
      <c r="A669" s="151"/>
      <c r="B669" s="151"/>
      <c r="C669" s="151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</row>
    <row r="670" spans="1:13" ht="12.75" customHeight="1" x14ac:dyDescent="0.2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</row>
    <row r="671" spans="1:13" ht="12.75" customHeight="1" x14ac:dyDescent="0.2">
      <c r="A671" s="151"/>
      <c r="B671" s="151"/>
      <c r="C671" s="151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</row>
    <row r="672" spans="1:13" ht="12.75" customHeight="1" x14ac:dyDescent="0.2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</row>
    <row r="673" spans="1:13" ht="12.75" customHeight="1" x14ac:dyDescent="0.2">
      <c r="A673" s="151"/>
      <c r="B673" s="15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</row>
    <row r="674" spans="1:13" ht="12.75" customHeight="1" x14ac:dyDescent="0.2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</row>
    <row r="675" spans="1:13" ht="12.75" customHeight="1" x14ac:dyDescent="0.2">
      <c r="A675" s="151"/>
      <c r="B675" s="151"/>
      <c r="C675" s="151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</row>
    <row r="676" spans="1:13" ht="12.75" customHeight="1" x14ac:dyDescent="0.2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</row>
    <row r="677" spans="1:13" ht="12.75" customHeight="1" x14ac:dyDescent="0.2">
      <c r="A677" s="151"/>
      <c r="B677" s="151"/>
      <c r="C677" s="151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</row>
    <row r="678" spans="1:13" ht="12.75" customHeight="1" x14ac:dyDescent="0.2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</row>
    <row r="679" spans="1:13" ht="12.75" customHeight="1" x14ac:dyDescent="0.2">
      <c r="A679" s="151"/>
      <c r="B679" s="151"/>
      <c r="C679" s="151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</row>
    <row r="680" spans="1:13" ht="12.75" customHeight="1" x14ac:dyDescent="0.2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</row>
    <row r="681" spans="1:13" ht="12.75" customHeight="1" x14ac:dyDescent="0.2">
      <c r="A681" s="151"/>
      <c r="B681" s="151"/>
      <c r="C681" s="151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</row>
    <row r="682" spans="1:13" ht="12.75" customHeight="1" x14ac:dyDescent="0.2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</row>
    <row r="683" spans="1:13" ht="12.75" customHeight="1" x14ac:dyDescent="0.2">
      <c r="A683" s="151"/>
      <c r="B683" s="151"/>
      <c r="C683" s="151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</row>
    <row r="684" spans="1:13" ht="12.75" customHeight="1" x14ac:dyDescent="0.2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</row>
    <row r="685" spans="1:13" ht="12.75" customHeight="1" x14ac:dyDescent="0.2">
      <c r="A685" s="151"/>
      <c r="B685" s="151"/>
      <c r="C685" s="151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</row>
    <row r="686" spans="1:13" ht="12.75" customHeight="1" x14ac:dyDescent="0.2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</row>
    <row r="687" spans="1:13" ht="12.75" customHeight="1" x14ac:dyDescent="0.2">
      <c r="A687" s="151"/>
      <c r="B687" s="151"/>
      <c r="C687" s="151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</row>
    <row r="688" spans="1:13" ht="12.75" customHeight="1" x14ac:dyDescent="0.2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</row>
    <row r="689" spans="1:13" ht="12.75" customHeight="1" x14ac:dyDescent="0.2">
      <c r="A689" s="151"/>
      <c r="B689" s="151"/>
      <c r="C689" s="151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</row>
    <row r="690" spans="1:13" ht="12.75" customHeight="1" x14ac:dyDescent="0.2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</row>
    <row r="691" spans="1:13" ht="12.75" customHeight="1" x14ac:dyDescent="0.2">
      <c r="A691" s="151"/>
      <c r="B691" s="151"/>
      <c r="C691" s="151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</row>
    <row r="692" spans="1:13" ht="12.75" customHeight="1" x14ac:dyDescent="0.2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</row>
    <row r="693" spans="1:13" ht="12.75" customHeight="1" x14ac:dyDescent="0.2">
      <c r="A693" s="151"/>
      <c r="B693" s="151"/>
      <c r="C693" s="151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</row>
    <row r="694" spans="1:13" ht="12.75" customHeight="1" x14ac:dyDescent="0.2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</row>
    <row r="695" spans="1:13" ht="12.75" customHeight="1" x14ac:dyDescent="0.2">
      <c r="A695" s="151"/>
      <c r="B695" s="151"/>
      <c r="C695" s="151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</row>
    <row r="696" spans="1:13" ht="12.75" customHeight="1" x14ac:dyDescent="0.2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</row>
    <row r="697" spans="1:13" ht="12.75" customHeight="1" x14ac:dyDescent="0.2">
      <c r="A697" s="151"/>
      <c r="B697" s="151"/>
      <c r="C697" s="151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</row>
    <row r="698" spans="1:13" ht="12.75" customHeight="1" x14ac:dyDescent="0.2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</row>
    <row r="699" spans="1:13" ht="12.75" customHeight="1" x14ac:dyDescent="0.2">
      <c r="A699" s="151"/>
      <c r="B699" s="151"/>
      <c r="C699" s="151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</row>
    <row r="700" spans="1:13" ht="12.75" customHeight="1" x14ac:dyDescent="0.2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</row>
    <row r="701" spans="1:13" ht="12.75" customHeight="1" x14ac:dyDescent="0.2">
      <c r="A701" s="151"/>
      <c r="B701" s="151"/>
      <c r="C701" s="151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</row>
    <row r="702" spans="1:13" ht="12.75" customHeight="1" x14ac:dyDescent="0.2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</row>
    <row r="703" spans="1:13" ht="12.75" customHeight="1" x14ac:dyDescent="0.2">
      <c r="A703" s="151"/>
      <c r="B703" s="151"/>
      <c r="C703" s="151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</row>
    <row r="704" spans="1:13" ht="12.75" customHeight="1" x14ac:dyDescent="0.2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</row>
    <row r="705" spans="1:13" ht="12.75" customHeight="1" x14ac:dyDescent="0.2">
      <c r="A705" s="151"/>
      <c r="B705" s="151"/>
      <c r="C705" s="151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</row>
    <row r="706" spans="1:13" ht="12.75" customHeight="1" x14ac:dyDescent="0.2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</row>
    <row r="707" spans="1:13" ht="12.75" customHeight="1" x14ac:dyDescent="0.2">
      <c r="A707" s="151"/>
      <c r="B707" s="151"/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</row>
    <row r="708" spans="1:13" ht="12.75" customHeight="1" x14ac:dyDescent="0.2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</row>
    <row r="709" spans="1:13" ht="12.75" customHeight="1" x14ac:dyDescent="0.2">
      <c r="A709" s="151"/>
      <c r="B709" s="151"/>
      <c r="C709" s="151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</row>
    <row r="710" spans="1:13" ht="12.75" customHeight="1" x14ac:dyDescent="0.2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</row>
    <row r="711" spans="1:13" ht="12.75" customHeight="1" x14ac:dyDescent="0.2">
      <c r="A711" s="151"/>
      <c r="B711" s="151"/>
      <c r="C711" s="151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</row>
    <row r="712" spans="1:13" ht="12.75" customHeight="1" x14ac:dyDescent="0.2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</row>
    <row r="713" spans="1:13" ht="12.75" customHeight="1" x14ac:dyDescent="0.2">
      <c r="A713" s="151"/>
      <c r="B713" s="151"/>
      <c r="C713" s="151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</row>
    <row r="714" spans="1:13" ht="12.75" customHeight="1" x14ac:dyDescent="0.2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</row>
    <row r="715" spans="1:13" ht="12.75" customHeight="1" x14ac:dyDescent="0.2">
      <c r="A715" s="151"/>
      <c r="B715" s="151"/>
      <c r="C715" s="151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</row>
    <row r="716" spans="1:13" ht="12.75" customHeight="1" x14ac:dyDescent="0.2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</row>
    <row r="717" spans="1:13" ht="12.75" customHeight="1" x14ac:dyDescent="0.2">
      <c r="A717" s="151"/>
      <c r="B717" s="151"/>
      <c r="C717" s="151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</row>
    <row r="718" spans="1:13" ht="12.75" customHeight="1" x14ac:dyDescent="0.2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</row>
    <row r="719" spans="1:13" ht="12.75" customHeight="1" x14ac:dyDescent="0.2">
      <c r="A719" s="151"/>
      <c r="B719" s="151"/>
      <c r="C719" s="151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</row>
    <row r="720" spans="1:13" ht="12.75" customHeight="1" x14ac:dyDescent="0.2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</row>
    <row r="721" spans="1:13" ht="12.75" customHeight="1" x14ac:dyDescent="0.2">
      <c r="A721" s="151"/>
      <c r="B721" s="151"/>
      <c r="C721" s="151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</row>
    <row r="722" spans="1:13" ht="12.75" customHeight="1" x14ac:dyDescent="0.2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</row>
    <row r="723" spans="1:13" ht="12.75" customHeight="1" x14ac:dyDescent="0.2">
      <c r="A723" s="151"/>
      <c r="B723" s="151"/>
      <c r="C723" s="151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</row>
    <row r="724" spans="1:13" ht="12.75" customHeight="1" x14ac:dyDescent="0.2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</row>
    <row r="725" spans="1:13" ht="12.75" customHeight="1" x14ac:dyDescent="0.2">
      <c r="A725" s="151"/>
      <c r="B725" s="151"/>
      <c r="C725" s="151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</row>
    <row r="726" spans="1:13" ht="12.75" customHeight="1" x14ac:dyDescent="0.2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</row>
    <row r="727" spans="1:13" ht="12.75" customHeight="1" x14ac:dyDescent="0.2">
      <c r="A727" s="151"/>
      <c r="B727" s="151"/>
      <c r="C727" s="151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</row>
    <row r="728" spans="1:13" ht="12.75" customHeight="1" x14ac:dyDescent="0.2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</row>
    <row r="729" spans="1:13" ht="12.75" customHeight="1" x14ac:dyDescent="0.2">
      <c r="A729" s="151"/>
      <c r="B729" s="151"/>
      <c r="C729" s="151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</row>
    <row r="730" spans="1:13" ht="12.75" customHeight="1" x14ac:dyDescent="0.2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</row>
    <row r="731" spans="1:13" ht="12.75" customHeight="1" x14ac:dyDescent="0.2">
      <c r="A731" s="151"/>
      <c r="B731" s="151"/>
      <c r="C731" s="151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</row>
    <row r="732" spans="1:13" ht="12.75" customHeight="1" x14ac:dyDescent="0.2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</row>
    <row r="733" spans="1:13" ht="12.75" customHeight="1" x14ac:dyDescent="0.2">
      <c r="A733" s="151"/>
      <c r="B733" s="151"/>
      <c r="C733" s="151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</row>
    <row r="734" spans="1:13" ht="12.75" customHeight="1" x14ac:dyDescent="0.2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</row>
    <row r="735" spans="1:13" ht="12.75" customHeight="1" x14ac:dyDescent="0.2">
      <c r="A735" s="151"/>
      <c r="B735" s="151"/>
      <c r="C735" s="151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</row>
    <row r="736" spans="1:13" ht="12.75" customHeight="1" x14ac:dyDescent="0.2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</row>
    <row r="737" spans="1:13" ht="12.75" customHeight="1" x14ac:dyDescent="0.2">
      <c r="A737" s="151"/>
      <c r="B737" s="151"/>
      <c r="C737" s="151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</row>
    <row r="738" spans="1:13" ht="12.75" customHeight="1" x14ac:dyDescent="0.2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</row>
    <row r="739" spans="1:13" ht="12.75" customHeight="1" x14ac:dyDescent="0.2">
      <c r="A739" s="151"/>
      <c r="B739" s="151"/>
      <c r="C739" s="151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</row>
    <row r="740" spans="1:13" ht="12.75" customHeight="1" x14ac:dyDescent="0.2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</row>
    <row r="741" spans="1:13" ht="12.75" customHeight="1" x14ac:dyDescent="0.2">
      <c r="A741" s="151"/>
      <c r="B741" s="151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</row>
    <row r="742" spans="1:13" ht="12.75" customHeight="1" x14ac:dyDescent="0.2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</row>
    <row r="743" spans="1:13" ht="12.75" customHeight="1" x14ac:dyDescent="0.2">
      <c r="A743" s="151"/>
      <c r="B743" s="151"/>
      <c r="C743" s="151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</row>
    <row r="744" spans="1:13" ht="12.75" customHeight="1" x14ac:dyDescent="0.2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</row>
    <row r="745" spans="1:13" ht="12.75" customHeight="1" x14ac:dyDescent="0.2">
      <c r="A745" s="151"/>
      <c r="B745" s="151"/>
      <c r="C745" s="151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</row>
    <row r="746" spans="1:13" ht="12.75" customHeight="1" x14ac:dyDescent="0.2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</row>
    <row r="747" spans="1:13" ht="12.75" customHeight="1" x14ac:dyDescent="0.2">
      <c r="A747" s="151"/>
      <c r="B747" s="151"/>
      <c r="C747" s="151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</row>
    <row r="748" spans="1:13" ht="12.75" customHeight="1" x14ac:dyDescent="0.2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</row>
    <row r="749" spans="1:13" ht="12.75" customHeight="1" x14ac:dyDescent="0.2">
      <c r="A749" s="151"/>
      <c r="B749" s="151"/>
      <c r="C749" s="151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</row>
    <row r="750" spans="1:13" ht="12.75" customHeight="1" x14ac:dyDescent="0.2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</row>
    <row r="751" spans="1:13" ht="12.75" customHeight="1" x14ac:dyDescent="0.2">
      <c r="A751" s="151"/>
      <c r="B751" s="151"/>
      <c r="C751" s="151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</row>
    <row r="752" spans="1:13" ht="12.75" customHeight="1" x14ac:dyDescent="0.2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</row>
    <row r="753" spans="1:13" ht="12.75" customHeight="1" x14ac:dyDescent="0.2">
      <c r="A753" s="151"/>
      <c r="B753" s="151"/>
      <c r="C753" s="151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</row>
    <row r="754" spans="1:13" ht="12.75" customHeight="1" x14ac:dyDescent="0.2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</row>
    <row r="755" spans="1:13" ht="12.75" customHeight="1" x14ac:dyDescent="0.2">
      <c r="A755" s="151"/>
      <c r="B755" s="151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</row>
    <row r="756" spans="1:13" ht="12.75" customHeight="1" x14ac:dyDescent="0.2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</row>
    <row r="757" spans="1:13" ht="12.75" customHeight="1" x14ac:dyDescent="0.2">
      <c r="A757" s="151"/>
      <c r="B757" s="151"/>
      <c r="C757" s="151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</row>
    <row r="758" spans="1:13" ht="12.75" customHeight="1" x14ac:dyDescent="0.2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</row>
    <row r="759" spans="1:13" ht="12.75" customHeight="1" x14ac:dyDescent="0.2">
      <c r="A759" s="151"/>
      <c r="B759" s="151"/>
      <c r="C759" s="151"/>
      <c r="D759" s="151"/>
      <c r="E759" s="151"/>
      <c r="F759" s="151"/>
      <c r="G759" s="151"/>
      <c r="H759" s="151"/>
      <c r="I759" s="151"/>
      <c r="J759" s="151"/>
      <c r="K759" s="151"/>
      <c r="L759" s="151"/>
      <c r="M759" s="151"/>
    </row>
    <row r="760" spans="1:13" ht="12.75" customHeight="1" x14ac:dyDescent="0.2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</row>
    <row r="761" spans="1:13" ht="12.75" customHeight="1" x14ac:dyDescent="0.2">
      <c r="A761" s="151"/>
      <c r="B761" s="151"/>
      <c r="C761" s="151"/>
      <c r="D761" s="151"/>
      <c r="E761" s="151"/>
      <c r="F761" s="151"/>
      <c r="G761" s="151"/>
      <c r="H761" s="151"/>
      <c r="I761" s="151"/>
      <c r="J761" s="151"/>
      <c r="K761" s="151"/>
      <c r="L761" s="151"/>
      <c r="M761" s="151"/>
    </row>
    <row r="762" spans="1:13" ht="12.75" customHeight="1" x14ac:dyDescent="0.2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</row>
    <row r="763" spans="1:13" ht="12.75" customHeight="1" x14ac:dyDescent="0.2">
      <c r="A763" s="151"/>
      <c r="B763" s="151"/>
      <c r="C763" s="151"/>
      <c r="D763" s="151"/>
      <c r="E763" s="151"/>
      <c r="F763" s="151"/>
      <c r="G763" s="151"/>
      <c r="H763" s="151"/>
      <c r="I763" s="151"/>
      <c r="J763" s="151"/>
      <c r="K763" s="151"/>
      <c r="L763" s="151"/>
      <c r="M763" s="151"/>
    </row>
    <row r="764" spans="1:13" ht="12.75" customHeight="1" x14ac:dyDescent="0.2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</row>
    <row r="765" spans="1:13" ht="12.75" customHeight="1" x14ac:dyDescent="0.2">
      <c r="A765" s="151"/>
      <c r="B765" s="151"/>
      <c r="C765" s="151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</row>
    <row r="766" spans="1:13" ht="12.75" customHeight="1" x14ac:dyDescent="0.2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</row>
    <row r="767" spans="1:13" ht="12.75" customHeight="1" x14ac:dyDescent="0.2">
      <c r="A767" s="151"/>
      <c r="B767" s="151"/>
      <c r="C767" s="151"/>
      <c r="D767" s="151"/>
      <c r="E767" s="151"/>
      <c r="F767" s="151"/>
      <c r="G767" s="151"/>
      <c r="H767" s="151"/>
      <c r="I767" s="151"/>
      <c r="J767" s="151"/>
      <c r="K767" s="151"/>
      <c r="L767" s="151"/>
      <c r="M767" s="151"/>
    </row>
    <row r="768" spans="1:13" ht="12.75" customHeight="1" x14ac:dyDescent="0.2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</row>
    <row r="769" spans="1:13" ht="12.75" customHeight="1" x14ac:dyDescent="0.2">
      <c r="A769" s="151"/>
      <c r="B769" s="151"/>
      <c r="C769" s="151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</row>
    <row r="770" spans="1:13" ht="12.75" customHeight="1" x14ac:dyDescent="0.2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</row>
    <row r="771" spans="1:13" ht="12.75" customHeight="1" x14ac:dyDescent="0.2">
      <c r="A771" s="151"/>
      <c r="B771" s="151"/>
      <c r="C771" s="151"/>
      <c r="D771" s="151"/>
      <c r="E771" s="151"/>
      <c r="F771" s="151"/>
      <c r="G771" s="151"/>
      <c r="H771" s="151"/>
      <c r="I771" s="151"/>
      <c r="J771" s="151"/>
      <c r="K771" s="151"/>
      <c r="L771" s="151"/>
      <c r="M771" s="151"/>
    </row>
    <row r="772" spans="1:13" ht="12.75" customHeight="1" x14ac:dyDescent="0.2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</row>
    <row r="773" spans="1:13" ht="12.75" customHeight="1" x14ac:dyDescent="0.2">
      <c r="A773" s="151"/>
      <c r="B773" s="151"/>
      <c r="C773" s="151"/>
      <c r="D773" s="151"/>
      <c r="E773" s="151"/>
      <c r="F773" s="151"/>
      <c r="G773" s="151"/>
      <c r="H773" s="151"/>
      <c r="I773" s="151"/>
      <c r="J773" s="151"/>
      <c r="K773" s="151"/>
      <c r="L773" s="151"/>
      <c r="M773" s="151"/>
    </row>
    <row r="774" spans="1:13" ht="12.75" customHeight="1" x14ac:dyDescent="0.2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</row>
    <row r="775" spans="1:13" ht="12.75" customHeight="1" x14ac:dyDescent="0.2">
      <c r="A775" s="151"/>
      <c r="B775" s="151"/>
      <c r="C775" s="151"/>
      <c r="D775" s="151"/>
      <c r="E775" s="151"/>
      <c r="F775" s="151"/>
      <c r="G775" s="151"/>
      <c r="H775" s="151"/>
      <c r="I775" s="151"/>
      <c r="J775" s="151"/>
      <c r="K775" s="151"/>
      <c r="L775" s="151"/>
      <c r="M775" s="151"/>
    </row>
    <row r="776" spans="1:13" ht="12.75" customHeight="1" x14ac:dyDescent="0.2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</row>
    <row r="777" spans="1:13" ht="12.75" customHeight="1" x14ac:dyDescent="0.2">
      <c r="A777" s="151"/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</row>
    <row r="778" spans="1:13" ht="12.75" customHeight="1" x14ac:dyDescent="0.2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</row>
    <row r="779" spans="1:13" ht="12.75" customHeight="1" x14ac:dyDescent="0.2">
      <c r="A779" s="151"/>
      <c r="B779" s="151"/>
      <c r="C779" s="151"/>
      <c r="D779" s="151"/>
      <c r="E779" s="151"/>
      <c r="F779" s="151"/>
      <c r="G779" s="151"/>
      <c r="H779" s="151"/>
      <c r="I779" s="151"/>
      <c r="J779" s="151"/>
      <c r="K779" s="151"/>
      <c r="L779" s="151"/>
      <c r="M779" s="151"/>
    </row>
    <row r="780" spans="1:13" ht="12.75" customHeight="1" x14ac:dyDescent="0.2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</row>
    <row r="781" spans="1:13" ht="12.75" customHeight="1" x14ac:dyDescent="0.2">
      <c r="A781" s="151"/>
      <c r="B781" s="151"/>
      <c r="C781" s="151"/>
      <c r="D781" s="151"/>
      <c r="E781" s="151"/>
      <c r="F781" s="151"/>
      <c r="G781" s="151"/>
      <c r="H781" s="151"/>
      <c r="I781" s="151"/>
      <c r="J781" s="151"/>
      <c r="K781" s="151"/>
      <c r="L781" s="151"/>
      <c r="M781" s="151"/>
    </row>
    <row r="782" spans="1:13" ht="12.75" customHeight="1" x14ac:dyDescent="0.2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</row>
    <row r="783" spans="1:13" ht="12.75" customHeight="1" x14ac:dyDescent="0.2">
      <c r="A783" s="151"/>
      <c r="B783" s="151"/>
      <c r="C783" s="151"/>
      <c r="D783" s="151"/>
      <c r="E783" s="151"/>
      <c r="F783" s="151"/>
      <c r="G783" s="151"/>
      <c r="H783" s="151"/>
      <c r="I783" s="151"/>
      <c r="J783" s="151"/>
      <c r="K783" s="151"/>
      <c r="L783" s="151"/>
      <c r="M783" s="151"/>
    </row>
    <row r="784" spans="1:13" ht="12.75" customHeight="1" x14ac:dyDescent="0.2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</row>
    <row r="785" spans="1:13" ht="12.75" customHeight="1" x14ac:dyDescent="0.2">
      <c r="A785" s="151"/>
      <c r="B785" s="151"/>
      <c r="C785" s="151"/>
      <c r="D785" s="151"/>
      <c r="E785" s="151"/>
      <c r="F785" s="151"/>
      <c r="G785" s="151"/>
      <c r="H785" s="151"/>
      <c r="I785" s="151"/>
      <c r="J785" s="151"/>
      <c r="K785" s="151"/>
      <c r="L785" s="151"/>
      <c r="M785" s="151"/>
    </row>
    <row r="786" spans="1:13" ht="12.75" customHeight="1" x14ac:dyDescent="0.2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</row>
    <row r="787" spans="1:13" ht="12.75" customHeight="1" x14ac:dyDescent="0.2">
      <c r="A787" s="151"/>
      <c r="B787" s="151"/>
      <c r="C787" s="151"/>
      <c r="D787" s="151"/>
      <c r="E787" s="151"/>
      <c r="F787" s="151"/>
      <c r="G787" s="151"/>
      <c r="H787" s="151"/>
      <c r="I787" s="151"/>
      <c r="J787" s="151"/>
      <c r="K787" s="151"/>
      <c r="L787" s="151"/>
      <c r="M787" s="151"/>
    </row>
    <row r="788" spans="1:13" ht="12.75" customHeight="1" x14ac:dyDescent="0.2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</row>
    <row r="789" spans="1:13" ht="12.75" customHeight="1" x14ac:dyDescent="0.2">
      <c r="A789" s="151"/>
      <c r="B789" s="151"/>
      <c r="C789" s="151"/>
      <c r="D789" s="151"/>
      <c r="E789" s="151"/>
      <c r="F789" s="151"/>
      <c r="G789" s="151"/>
      <c r="H789" s="151"/>
      <c r="I789" s="151"/>
      <c r="J789" s="151"/>
      <c r="K789" s="151"/>
      <c r="L789" s="151"/>
      <c r="M789" s="151"/>
    </row>
    <row r="790" spans="1:13" ht="12.75" customHeight="1" x14ac:dyDescent="0.2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</row>
    <row r="791" spans="1:13" ht="12.75" customHeight="1" x14ac:dyDescent="0.2">
      <c r="A791" s="151"/>
      <c r="B791" s="151"/>
      <c r="C791" s="151"/>
      <c r="D791" s="151"/>
      <c r="E791" s="151"/>
      <c r="F791" s="151"/>
      <c r="G791" s="151"/>
      <c r="H791" s="151"/>
      <c r="I791" s="151"/>
      <c r="J791" s="151"/>
      <c r="K791" s="151"/>
      <c r="L791" s="151"/>
      <c r="M791" s="151"/>
    </row>
    <row r="792" spans="1:13" ht="12.75" customHeight="1" x14ac:dyDescent="0.2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</row>
    <row r="793" spans="1:13" ht="12.75" customHeight="1" x14ac:dyDescent="0.2">
      <c r="A793" s="151"/>
      <c r="B793" s="151"/>
      <c r="C793" s="151"/>
      <c r="D793" s="151"/>
      <c r="E793" s="151"/>
      <c r="F793" s="151"/>
      <c r="G793" s="151"/>
      <c r="H793" s="151"/>
      <c r="I793" s="151"/>
      <c r="J793" s="151"/>
      <c r="K793" s="151"/>
      <c r="L793" s="151"/>
      <c r="M793" s="151"/>
    </row>
    <row r="794" spans="1:13" ht="12.75" customHeight="1" x14ac:dyDescent="0.2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</row>
    <row r="795" spans="1:13" ht="12.75" customHeight="1" x14ac:dyDescent="0.2">
      <c r="A795" s="151"/>
      <c r="B795" s="151"/>
      <c r="C795" s="151"/>
      <c r="D795" s="151"/>
      <c r="E795" s="151"/>
      <c r="F795" s="151"/>
      <c r="G795" s="151"/>
      <c r="H795" s="151"/>
      <c r="I795" s="151"/>
      <c r="J795" s="151"/>
      <c r="K795" s="151"/>
      <c r="L795" s="151"/>
      <c r="M795" s="151"/>
    </row>
    <row r="796" spans="1:13" ht="12.75" customHeight="1" x14ac:dyDescent="0.2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</row>
    <row r="797" spans="1:13" ht="12.75" customHeight="1" x14ac:dyDescent="0.2">
      <c r="A797" s="151"/>
      <c r="B797" s="151"/>
      <c r="C797" s="151"/>
      <c r="D797" s="151"/>
      <c r="E797" s="151"/>
      <c r="F797" s="151"/>
      <c r="G797" s="151"/>
      <c r="H797" s="151"/>
      <c r="I797" s="151"/>
      <c r="J797" s="151"/>
      <c r="K797" s="151"/>
      <c r="L797" s="151"/>
      <c r="M797" s="151"/>
    </row>
    <row r="798" spans="1:13" ht="12.75" customHeight="1" x14ac:dyDescent="0.2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</row>
    <row r="799" spans="1:13" ht="12.75" customHeight="1" x14ac:dyDescent="0.2">
      <c r="A799" s="151"/>
      <c r="B799" s="151"/>
      <c r="C799" s="151"/>
      <c r="D799" s="151"/>
      <c r="E799" s="151"/>
      <c r="F799" s="151"/>
      <c r="G799" s="151"/>
      <c r="H799" s="151"/>
      <c r="I799" s="151"/>
      <c r="J799" s="151"/>
      <c r="K799" s="151"/>
      <c r="L799" s="151"/>
      <c r="M799" s="151"/>
    </row>
    <row r="800" spans="1:13" ht="12.75" customHeight="1" x14ac:dyDescent="0.2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</row>
    <row r="801" spans="1:13" ht="12.75" customHeight="1" x14ac:dyDescent="0.2">
      <c r="A801" s="151"/>
      <c r="B801" s="151"/>
      <c r="C801" s="151"/>
      <c r="D801" s="151"/>
      <c r="E801" s="151"/>
      <c r="F801" s="151"/>
      <c r="G801" s="151"/>
      <c r="H801" s="151"/>
      <c r="I801" s="151"/>
      <c r="J801" s="151"/>
      <c r="K801" s="151"/>
      <c r="L801" s="151"/>
      <c r="M801" s="151"/>
    </row>
    <row r="802" spans="1:13" ht="12.75" customHeight="1" x14ac:dyDescent="0.2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</row>
    <row r="803" spans="1:13" ht="12.75" customHeight="1" x14ac:dyDescent="0.2">
      <c r="A803" s="151"/>
      <c r="B803" s="151"/>
      <c r="C803" s="151"/>
      <c r="D803" s="151"/>
      <c r="E803" s="151"/>
      <c r="F803" s="151"/>
      <c r="G803" s="151"/>
      <c r="H803" s="151"/>
      <c r="I803" s="151"/>
      <c r="J803" s="151"/>
      <c r="K803" s="151"/>
      <c r="L803" s="151"/>
      <c r="M803" s="151"/>
    </row>
    <row r="804" spans="1:13" ht="12.75" customHeight="1" x14ac:dyDescent="0.2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</row>
    <row r="805" spans="1:13" ht="12.75" customHeight="1" x14ac:dyDescent="0.2">
      <c r="A805" s="151"/>
      <c r="B805" s="151"/>
      <c r="C805" s="151"/>
      <c r="D805" s="151"/>
      <c r="E805" s="151"/>
      <c r="F805" s="151"/>
      <c r="G805" s="151"/>
      <c r="H805" s="151"/>
      <c r="I805" s="151"/>
      <c r="J805" s="151"/>
      <c r="K805" s="151"/>
      <c r="L805" s="151"/>
      <c r="M805" s="151"/>
    </row>
    <row r="806" spans="1:13" ht="12.75" customHeight="1" x14ac:dyDescent="0.2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</row>
    <row r="807" spans="1:13" ht="12.75" customHeight="1" x14ac:dyDescent="0.2">
      <c r="A807" s="151"/>
      <c r="B807" s="151"/>
      <c r="C807" s="151"/>
      <c r="D807" s="151"/>
      <c r="E807" s="151"/>
      <c r="F807" s="151"/>
      <c r="G807" s="151"/>
      <c r="H807" s="151"/>
      <c r="I807" s="151"/>
      <c r="J807" s="151"/>
      <c r="K807" s="151"/>
      <c r="L807" s="151"/>
      <c r="M807" s="151"/>
    </row>
    <row r="808" spans="1:13" ht="12.75" customHeight="1" x14ac:dyDescent="0.2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</row>
    <row r="809" spans="1:13" ht="12.75" customHeight="1" x14ac:dyDescent="0.2">
      <c r="A809" s="151"/>
      <c r="B809" s="151"/>
      <c r="C809" s="151"/>
      <c r="D809" s="151"/>
      <c r="E809" s="151"/>
      <c r="F809" s="151"/>
      <c r="G809" s="151"/>
      <c r="H809" s="151"/>
      <c r="I809" s="151"/>
      <c r="J809" s="151"/>
      <c r="K809" s="151"/>
      <c r="L809" s="151"/>
      <c r="M809" s="151"/>
    </row>
    <row r="810" spans="1:13" ht="12.75" customHeight="1" x14ac:dyDescent="0.2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</row>
    <row r="811" spans="1:13" ht="12.75" customHeight="1" x14ac:dyDescent="0.2">
      <c r="A811" s="151"/>
      <c r="B811" s="151"/>
      <c r="C811" s="151"/>
      <c r="D811" s="151"/>
      <c r="E811" s="151"/>
      <c r="F811" s="151"/>
      <c r="G811" s="151"/>
      <c r="H811" s="151"/>
      <c r="I811" s="151"/>
      <c r="J811" s="151"/>
      <c r="K811" s="151"/>
      <c r="L811" s="151"/>
      <c r="M811" s="151"/>
    </row>
    <row r="812" spans="1:13" ht="12.75" customHeight="1" x14ac:dyDescent="0.2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</row>
    <row r="813" spans="1:13" ht="12.75" customHeight="1" x14ac:dyDescent="0.2">
      <c r="A813" s="151"/>
      <c r="B813" s="151"/>
      <c r="C813" s="151"/>
      <c r="D813" s="151"/>
      <c r="E813" s="151"/>
      <c r="F813" s="151"/>
      <c r="G813" s="151"/>
      <c r="H813" s="151"/>
      <c r="I813" s="151"/>
      <c r="J813" s="151"/>
      <c r="K813" s="151"/>
      <c r="L813" s="151"/>
      <c r="M813" s="151"/>
    </row>
    <row r="814" spans="1:13" ht="12.75" customHeight="1" x14ac:dyDescent="0.2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</row>
    <row r="815" spans="1:13" ht="12.75" customHeight="1" x14ac:dyDescent="0.2">
      <c r="A815" s="151"/>
      <c r="B815" s="151"/>
      <c r="C815" s="151"/>
      <c r="D815" s="151"/>
      <c r="E815" s="151"/>
      <c r="F815" s="151"/>
      <c r="G815" s="151"/>
      <c r="H815" s="151"/>
      <c r="I815" s="151"/>
      <c r="J815" s="151"/>
      <c r="K815" s="151"/>
      <c r="L815" s="151"/>
      <c r="M815" s="151"/>
    </row>
    <row r="816" spans="1:13" ht="12.75" customHeight="1" x14ac:dyDescent="0.2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</row>
    <row r="817" spans="1:13" ht="12.75" customHeight="1" x14ac:dyDescent="0.2">
      <c r="A817" s="151"/>
      <c r="B817" s="151"/>
      <c r="C817" s="151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</row>
    <row r="818" spans="1:13" ht="12.75" customHeight="1" x14ac:dyDescent="0.2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</row>
    <row r="819" spans="1:13" ht="12.75" customHeight="1" x14ac:dyDescent="0.2">
      <c r="A819" s="151"/>
      <c r="B819" s="151"/>
      <c r="C819" s="151"/>
      <c r="D819" s="151"/>
      <c r="E819" s="151"/>
      <c r="F819" s="151"/>
      <c r="G819" s="151"/>
      <c r="H819" s="151"/>
      <c r="I819" s="151"/>
      <c r="J819" s="151"/>
      <c r="K819" s="151"/>
      <c r="L819" s="151"/>
      <c r="M819" s="151"/>
    </row>
    <row r="820" spans="1:13" ht="12.75" customHeight="1" x14ac:dyDescent="0.2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</row>
    <row r="821" spans="1:13" ht="12.75" customHeight="1" x14ac:dyDescent="0.2">
      <c r="A821" s="151"/>
      <c r="B821" s="151"/>
      <c r="C821" s="151"/>
      <c r="D821" s="151"/>
      <c r="E821" s="151"/>
      <c r="F821" s="151"/>
      <c r="G821" s="151"/>
      <c r="H821" s="151"/>
      <c r="I821" s="151"/>
      <c r="J821" s="151"/>
      <c r="K821" s="151"/>
      <c r="L821" s="151"/>
      <c r="M821" s="151"/>
    </row>
    <row r="822" spans="1:13" ht="12.75" customHeight="1" x14ac:dyDescent="0.2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</row>
    <row r="823" spans="1:13" ht="12.75" customHeight="1" x14ac:dyDescent="0.2">
      <c r="A823" s="151"/>
      <c r="B823" s="151"/>
      <c r="C823" s="151"/>
      <c r="D823" s="151"/>
      <c r="E823" s="151"/>
      <c r="F823" s="151"/>
      <c r="G823" s="151"/>
      <c r="H823" s="151"/>
      <c r="I823" s="151"/>
      <c r="J823" s="151"/>
      <c r="K823" s="151"/>
      <c r="L823" s="151"/>
      <c r="M823" s="151"/>
    </row>
    <row r="824" spans="1:13" ht="12.75" customHeight="1" x14ac:dyDescent="0.2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</row>
    <row r="825" spans="1:13" ht="12.75" customHeight="1" x14ac:dyDescent="0.2">
      <c r="A825" s="151"/>
      <c r="B825" s="151"/>
      <c r="C825" s="151"/>
      <c r="D825" s="151"/>
      <c r="E825" s="151"/>
      <c r="F825" s="151"/>
      <c r="G825" s="151"/>
      <c r="H825" s="151"/>
      <c r="I825" s="151"/>
      <c r="J825" s="151"/>
      <c r="K825" s="151"/>
      <c r="L825" s="151"/>
      <c r="M825" s="151"/>
    </row>
    <row r="826" spans="1:13" ht="12.75" customHeight="1" x14ac:dyDescent="0.2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</row>
    <row r="827" spans="1:13" ht="12.75" customHeight="1" x14ac:dyDescent="0.2">
      <c r="A827" s="151"/>
      <c r="B827" s="151"/>
      <c r="C827" s="151"/>
      <c r="D827" s="151"/>
      <c r="E827" s="151"/>
      <c r="F827" s="151"/>
      <c r="G827" s="151"/>
      <c r="H827" s="151"/>
      <c r="I827" s="151"/>
      <c r="J827" s="151"/>
      <c r="K827" s="151"/>
      <c r="L827" s="151"/>
      <c r="M827" s="151"/>
    </row>
    <row r="828" spans="1:13" ht="12.75" customHeight="1" x14ac:dyDescent="0.2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</row>
    <row r="829" spans="1:13" ht="12.75" customHeight="1" x14ac:dyDescent="0.2">
      <c r="A829" s="151"/>
      <c r="B829" s="151"/>
      <c r="C829" s="151"/>
      <c r="D829" s="151"/>
      <c r="E829" s="151"/>
      <c r="F829" s="151"/>
      <c r="G829" s="151"/>
      <c r="H829" s="151"/>
      <c r="I829" s="151"/>
      <c r="J829" s="151"/>
      <c r="K829" s="151"/>
      <c r="L829" s="151"/>
      <c r="M829" s="151"/>
    </row>
    <row r="830" spans="1:13" ht="12.75" customHeight="1" x14ac:dyDescent="0.2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</row>
    <row r="831" spans="1:13" ht="12.75" customHeight="1" x14ac:dyDescent="0.2">
      <c r="A831" s="151"/>
      <c r="B831" s="151"/>
      <c r="C831" s="151"/>
      <c r="D831" s="151"/>
      <c r="E831" s="151"/>
      <c r="F831" s="151"/>
      <c r="G831" s="151"/>
      <c r="H831" s="151"/>
      <c r="I831" s="151"/>
      <c r="J831" s="151"/>
      <c r="K831" s="151"/>
      <c r="L831" s="151"/>
      <c r="M831" s="151"/>
    </row>
    <row r="832" spans="1:13" ht="12.75" customHeight="1" x14ac:dyDescent="0.2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</row>
    <row r="833" spans="1:13" ht="12.75" customHeight="1" x14ac:dyDescent="0.2">
      <c r="A833" s="151"/>
      <c r="B833" s="151"/>
      <c r="C833" s="151"/>
      <c r="D833" s="151"/>
      <c r="E833" s="151"/>
      <c r="F833" s="151"/>
      <c r="G833" s="151"/>
      <c r="H833" s="151"/>
      <c r="I833" s="151"/>
      <c r="J833" s="151"/>
      <c r="K833" s="151"/>
      <c r="L833" s="151"/>
      <c r="M833" s="151"/>
    </row>
    <row r="834" spans="1:13" ht="12.75" customHeight="1" x14ac:dyDescent="0.2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</row>
    <row r="835" spans="1:13" ht="12.75" customHeight="1" x14ac:dyDescent="0.2">
      <c r="A835" s="151"/>
      <c r="B835" s="151"/>
      <c r="C835" s="151"/>
      <c r="D835" s="151"/>
      <c r="E835" s="151"/>
      <c r="F835" s="151"/>
      <c r="G835" s="151"/>
      <c r="H835" s="151"/>
      <c r="I835" s="151"/>
      <c r="J835" s="151"/>
      <c r="K835" s="151"/>
      <c r="L835" s="151"/>
      <c r="M835" s="151"/>
    </row>
    <row r="836" spans="1:13" ht="12.75" customHeight="1" x14ac:dyDescent="0.2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</row>
    <row r="837" spans="1:13" ht="12.75" customHeight="1" x14ac:dyDescent="0.2">
      <c r="A837" s="151"/>
      <c r="B837" s="151"/>
      <c r="C837" s="151"/>
      <c r="D837" s="151"/>
      <c r="E837" s="151"/>
      <c r="F837" s="151"/>
      <c r="G837" s="151"/>
      <c r="H837" s="151"/>
      <c r="I837" s="151"/>
      <c r="J837" s="151"/>
      <c r="K837" s="151"/>
      <c r="L837" s="151"/>
      <c r="M837" s="151"/>
    </row>
    <row r="838" spans="1:13" ht="12.75" customHeight="1" x14ac:dyDescent="0.2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</row>
    <row r="839" spans="1:13" ht="12.75" customHeight="1" x14ac:dyDescent="0.2">
      <c r="A839" s="151"/>
      <c r="B839" s="151"/>
      <c r="C839" s="151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</row>
    <row r="840" spans="1:13" ht="12.75" customHeight="1" x14ac:dyDescent="0.2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</row>
    <row r="841" spans="1:13" ht="12.75" customHeight="1" x14ac:dyDescent="0.2">
      <c r="A841" s="151"/>
      <c r="B841" s="151"/>
      <c r="C841" s="151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</row>
    <row r="842" spans="1:13" ht="12.75" customHeight="1" x14ac:dyDescent="0.2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</row>
    <row r="843" spans="1:13" ht="12.75" customHeight="1" x14ac:dyDescent="0.2">
      <c r="A843" s="151"/>
      <c r="B843" s="151"/>
      <c r="C843" s="151"/>
      <c r="D843" s="151"/>
      <c r="E843" s="151"/>
      <c r="F843" s="151"/>
      <c r="G843" s="151"/>
      <c r="H843" s="151"/>
      <c r="I843" s="151"/>
      <c r="J843" s="151"/>
      <c r="K843" s="151"/>
      <c r="L843" s="151"/>
      <c r="M843" s="151"/>
    </row>
    <row r="844" spans="1:13" ht="12.75" customHeight="1" x14ac:dyDescent="0.2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</row>
    <row r="845" spans="1:13" ht="12.75" customHeight="1" x14ac:dyDescent="0.2">
      <c r="A845" s="151"/>
      <c r="B845" s="151"/>
      <c r="C845" s="151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</row>
    <row r="846" spans="1:13" ht="12.75" customHeight="1" x14ac:dyDescent="0.2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</row>
    <row r="847" spans="1:13" ht="12.75" customHeight="1" x14ac:dyDescent="0.2">
      <c r="A847" s="151"/>
      <c r="B847" s="151"/>
      <c r="C847" s="151"/>
      <c r="D847" s="151"/>
      <c r="E847" s="151"/>
      <c r="F847" s="151"/>
      <c r="G847" s="151"/>
      <c r="H847" s="151"/>
      <c r="I847" s="151"/>
      <c r="J847" s="151"/>
      <c r="K847" s="151"/>
      <c r="L847" s="151"/>
      <c r="M847" s="151"/>
    </row>
    <row r="848" spans="1:13" ht="12.75" customHeight="1" x14ac:dyDescent="0.2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</row>
    <row r="849" spans="1:13" ht="12.75" customHeight="1" x14ac:dyDescent="0.2">
      <c r="A849" s="151"/>
      <c r="B849" s="151"/>
      <c r="C849" s="151"/>
      <c r="D849" s="151"/>
      <c r="E849" s="151"/>
      <c r="F849" s="151"/>
      <c r="G849" s="151"/>
      <c r="H849" s="151"/>
      <c r="I849" s="151"/>
      <c r="J849" s="151"/>
      <c r="K849" s="151"/>
      <c r="L849" s="151"/>
      <c r="M849" s="151"/>
    </row>
    <row r="850" spans="1:13" ht="12.75" customHeight="1" x14ac:dyDescent="0.2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</row>
    <row r="851" spans="1:13" ht="12.75" customHeight="1" x14ac:dyDescent="0.2">
      <c r="A851" s="151"/>
      <c r="B851" s="151"/>
      <c r="C851" s="151"/>
      <c r="D851" s="151"/>
      <c r="E851" s="151"/>
      <c r="F851" s="151"/>
      <c r="G851" s="151"/>
      <c r="H851" s="151"/>
      <c r="I851" s="151"/>
      <c r="J851" s="151"/>
      <c r="K851" s="151"/>
      <c r="L851" s="151"/>
      <c r="M851" s="151"/>
    </row>
    <row r="852" spans="1:13" ht="12.75" customHeight="1" x14ac:dyDescent="0.2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</row>
    <row r="853" spans="1:13" ht="12.75" customHeight="1" x14ac:dyDescent="0.2">
      <c r="A853" s="151"/>
      <c r="B853" s="151"/>
      <c r="C853" s="151"/>
      <c r="D853" s="151"/>
      <c r="E853" s="151"/>
      <c r="F853" s="151"/>
      <c r="G853" s="151"/>
      <c r="H853" s="151"/>
      <c r="I853" s="151"/>
      <c r="J853" s="151"/>
      <c r="K853" s="151"/>
      <c r="L853" s="151"/>
      <c r="M853" s="151"/>
    </row>
    <row r="854" spans="1:13" ht="12.75" customHeight="1" x14ac:dyDescent="0.2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</row>
    <row r="855" spans="1:13" ht="12.75" customHeight="1" x14ac:dyDescent="0.2">
      <c r="A855" s="151"/>
      <c r="B855" s="151"/>
      <c r="C855" s="151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</row>
    <row r="856" spans="1:13" ht="12.75" customHeight="1" x14ac:dyDescent="0.2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</row>
    <row r="857" spans="1:13" ht="12.75" customHeight="1" x14ac:dyDescent="0.2">
      <c r="A857" s="151"/>
      <c r="B857" s="151"/>
      <c r="C857" s="151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</row>
    <row r="858" spans="1:13" ht="12.75" customHeight="1" x14ac:dyDescent="0.2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</row>
    <row r="859" spans="1:13" ht="12.75" customHeight="1" x14ac:dyDescent="0.2">
      <c r="A859" s="151"/>
      <c r="B859" s="151"/>
      <c r="C859" s="151"/>
      <c r="D859" s="151"/>
      <c r="E859" s="151"/>
      <c r="F859" s="151"/>
      <c r="G859" s="151"/>
      <c r="H859" s="151"/>
      <c r="I859" s="151"/>
      <c r="J859" s="151"/>
      <c r="K859" s="151"/>
      <c r="L859" s="151"/>
      <c r="M859" s="151"/>
    </row>
    <row r="860" spans="1:13" ht="12.75" customHeight="1" x14ac:dyDescent="0.2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</row>
    <row r="861" spans="1:13" ht="12.75" customHeight="1" x14ac:dyDescent="0.2">
      <c r="A861" s="151"/>
      <c r="B861" s="151"/>
      <c r="C861" s="151"/>
      <c r="D861" s="151"/>
      <c r="E861" s="151"/>
      <c r="F861" s="151"/>
      <c r="G861" s="151"/>
      <c r="H861" s="151"/>
      <c r="I861" s="151"/>
      <c r="J861" s="151"/>
      <c r="K861" s="151"/>
      <c r="L861" s="151"/>
      <c r="M861" s="151"/>
    </row>
    <row r="862" spans="1:13" ht="12.75" customHeight="1" x14ac:dyDescent="0.2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</row>
    <row r="863" spans="1:13" ht="12.75" customHeight="1" x14ac:dyDescent="0.2">
      <c r="A863" s="151"/>
      <c r="B863" s="151"/>
      <c r="C863" s="151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</row>
    <row r="864" spans="1:13" ht="12.75" customHeight="1" x14ac:dyDescent="0.2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</row>
    <row r="865" spans="1:13" ht="12.75" customHeight="1" x14ac:dyDescent="0.2">
      <c r="A865" s="151"/>
      <c r="B865" s="151"/>
      <c r="C865" s="151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</row>
    <row r="866" spans="1:13" ht="12.75" customHeight="1" x14ac:dyDescent="0.2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</row>
    <row r="867" spans="1:13" ht="12.75" customHeight="1" x14ac:dyDescent="0.2">
      <c r="A867" s="151"/>
      <c r="B867" s="151"/>
      <c r="C867" s="151"/>
      <c r="D867" s="151"/>
      <c r="E867" s="151"/>
      <c r="F867" s="151"/>
      <c r="G867" s="151"/>
      <c r="H867" s="151"/>
      <c r="I867" s="151"/>
      <c r="J867" s="151"/>
      <c r="K867" s="151"/>
      <c r="L867" s="151"/>
      <c r="M867" s="151"/>
    </row>
    <row r="868" spans="1:13" ht="12.75" customHeight="1" x14ac:dyDescent="0.2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</row>
    <row r="869" spans="1:13" ht="12.75" customHeight="1" x14ac:dyDescent="0.2">
      <c r="A869" s="151"/>
      <c r="B869" s="151"/>
      <c r="C869" s="151"/>
      <c r="D869" s="151"/>
      <c r="E869" s="151"/>
      <c r="F869" s="151"/>
      <c r="G869" s="151"/>
      <c r="H869" s="151"/>
      <c r="I869" s="151"/>
      <c r="J869" s="151"/>
      <c r="K869" s="151"/>
      <c r="L869" s="151"/>
      <c r="M869" s="151"/>
    </row>
    <row r="870" spans="1:13" ht="12.75" customHeight="1" x14ac:dyDescent="0.2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</row>
    <row r="871" spans="1:13" ht="12.75" customHeight="1" x14ac:dyDescent="0.2">
      <c r="A871" s="151"/>
      <c r="B871" s="151"/>
      <c r="C871" s="151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</row>
    <row r="872" spans="1:13" ht="12.75" customHeight="1" x14ac:dyDescent="0.2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</row>
    <row r="873" spans="1:13" ht="12.75" customHeight="1" x14ac:dyDescent="0.2">
      <c r="A873" s="151"/>
      <c r="B873" s="151"/>
      <c r="C873" s="151"/>
      <c r="D873" s="151"/>
      <c r="E873" s="151"/>
      <c r="F873" s="151"/>
      <c r="G873" s="151"/>
      <c r="H873" s="151"/>
      <c r="I873" s="151"/>
      <c r="J873" s="151"/>
      <c r="K873" s="151"/>
      <c r="L873" s="151"/>
      <c r="M873" s="151"/>
    </row>
    <row r="874" spans="1:13" ht="12.75" customHeight="1" x14ac:dyDescent="0.2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</row>
    <row r="875" spans="1:13" ht="12.75" customHeight="1" x14ac:dyDescent="0.2">
      <c r="A875" s="151"/>
      <c r="B875" s="151"/>
      <c r="C875" s="151"/>
      <c r="D875" s="151"/>
      <c r="E875" s="151"/>
      <c r="F875" s="151"/>
      <c r="G875" s="151"/>
      <c r="H875" s="151"/>
      <c r="I875" s="151"/>
      <c r="J875" s="151"/>
      <c r="K875" s="151"/>
      <c r="L875" s="151"/>
      <c r="M875" s="151"/>
    </row>
    <row r="876" spans="1:13" ht="12.75" customHeight="1" x14ac:dyDescent="0.2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</row>
    <row r="877" spans="1:13" ht="12.75" customHeight="1" x14ac:dyDescent="0.2">
      <c r="A877" s="151"/>
      <c r="B877" s="151"/>
      <c r="C877" s="151"/>
      <c r="D877" s="151"/>
      <c r="E877" s="151"/>
      <c r="F877" s="151"/>
      <c r="G877" s="151"/>
      <c r="H877" s="151"/>
      <c r="I877" s="151"/>
      <c r="J877" s="151"/>
      <c r="K877" s="151"/>
      <c r="L877" s="151"/>
      <c r="M877" s="151"/>
    </row>
    <row r="878" spans="1:13" ht="12.75" customHeight="1" x14ac:dyDescent="0.2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</row>
    <row r="879" spans="1:13" ht="12.75" customHeight="1" x14ac:dyDescent="0.2">
      <c r="A879" s="151"/>
      <c r="B879" s="151"/>
      <c r="C879" s="151"/>
      <c r="D879" s="151"/>
      <c r="E879" s="151"/>
      <c r="F879" s="151"/>
      <c r="G879" s="151"/>
      <c r="H879" s="151"/>
      <c r="I879" s="151"/>
      <c r="J879" s="151"/>
      <c r="K879" s="151"/>
      <c r="L879" s="151"/>
      <c r="M879" s="151"/>
    </row>
    <row r="880" spans="1:13" ht="12.75" customHeight="1" x14ac:dyDescent="0.2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</row>
    <row r="881" spans="1:13" ht="12.75" customHeight="1" x14ac:dyDescent="0.2">
      <c r="A881" s="151"/>
      <c r="B881" s="151"/>
      <c r="C881" s="151"/>
      <c r="D881" s="151"/>
      <c r="E881" s="151"/>
      <c r="F881" s="151"/>
      <c r="G881" s="151"/>
      <c r="H881" s="151"/>
      <c r="I881" s="151"/>
      <c r="J881" s="151"/>
      <c r="K881" s="151"/>
      <c r="L881" s="151"/>
      <c r="M881" s="151"/>
    </row>
    <row r="882" spans="1:13" ht="12.75" customHeight="1" x14ac:dyDescent="0.2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</row>
    <row r="883" spans="1:13" ht="12.75" customHeight="1" x14ac:dyDescent="0.2">
      <c r="A883" s="151"/>
      <c r="B883" s="151"/>
      <c r="C883" s="151"/>
      <c r="D883" s="151"/>
      <c r="E883" s="151"/>
      <c r="F883" s="151"/>
      <c r="G883" s="151"/>
      <c r="H883" s="151"/>
      <c r="I883" s="151"/>
      <c r="J883" s="151"/>
      <c r="K883" s="151"/>
      <c r="L883" s="151"/>
      <c r="M883" s="151"/>
    </row>
    <row r="884" spans="1:13" ht="12.75" customHeight="1" x14ac:dyDescent="0.2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</row>
    <row r="885" spans="1:13" ht="12.75" customHeight="1" x14ac:dyDescent="0.2">
      <c r="A885" s="151"/>
      <c r="B885" s="151"/>
      <c r="C885" s="151"/>
      <c r="D885" s="151"/>
      <c r="E885" s="151"/>
      <c r="F885" s="151"/>
      <c r="G885" s="151"/>
      <c r="H885" s="151"/>
      <c r="I885" s="151"/>
      <c r="J885" s="151"/>
      <c r="K885" s="151"/>
      <c r="L885" s="151"/>
      <c r="M885" s="151"/>
    </row>
    <row r="886" spans="1:13" ht="12.75" customHeight="1" x14ac:dyDescent="0.2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</row>
    <row r="887" spans="1:13" ht="12.75" customHeight="1" x14ac:dyDescent="0.2">
      <c r="A887" s="151"/>
      <c r="B887" s="151"/>
      <c r="C887" s="151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</row>
    <row r="888" spans="1:13" ht="12.75" customHeight="1" x14ac:dyDescent="0.2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</row>
    <row r="889" spans="1:13" ht="12.75" customHeight="1" x14ac:dyDescent="0.2">
      <c r="A889" s="151"/>
      <c r="B889" s="151"/>
      <c r="C889" s="151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</row>
    <row r="890" spans="1:13" ht="12.75" customHeight="1" x14ac:dyDescent="0.2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</row>
    <row r="891" spans="1:13" ht="12.75" customHeight="1" x14ac:dyDescent="0.2">
      <c r="A891" s="151"/>
      <c r="B891" s="151"/>
      <c r="C891" s="151"/>
      <c r="D891" s="151"/>
      <c r="E891" s="151"/>
      <c r="F891" s="151"/>
      <c r="G891" s="151"/>
      <c r="H891" s="151"/>
      <c r="I891" s="151"/>
      <c r="J891" s="151"/>
      <c r="K891" s="151"/>
      <c r="L891" s="151"/>
      <c r="M891" s="151"/>
    </row>
    <row r="892" spans="1:13" ht="12.75" customHeight="1" x14ac:dyDescent="0.2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</row>
    <row r="893" spans="1:13" ht="12.75" customHeight="1" x14ac:dyDescent="0.2">
      <c r="A893" s="151"/>
      <c r="B893" s="151"/>
      <c r="C893" s="151"/>
      <c r="D893" s="151"/>
      <c r="E893" s="151"/>
      <c r="F893" s="151"/>
      <c r="G893" s="151"/>
      <c r="H893" s="151"/>
      <c r="I893" s="151"/>
      <c r="J893" s="151"/>
      <c r="K893" s="151"/>
      <c r="L893" s="151"/>
      <c r="M893" s="151"/>
    </row>
    <row r="894" spans="1:13" ht="12.75" customHeight="1" x14ac:dyDescent="0.2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</row>
    <row r="895" spans="1:13" ht="12.75" customHeight="1" x14ac:dyDescent="0.2">
      <c r="A895" s="151"/>
      <c r="B895" s="151"/>
      <c r="C895" s="151"/>
      <c r="D895" s="151"/>
      <c r="E895" s="151"/>
      <c r="F895" s="151"/>
      <c r="G895" s="151"/>
      <c r="H895" s="151"/>
      <c r="I895" s="151"/>
      <c r="J895" s="151"/>
      <c r="K895" s="151"/>
      <c r="L895" s="151"/>
      <c r="M895" s="151"/>
    </row>
    <row r="896" spans="1:13" ht="12.75" customHeight="1" x14ac:dyDescent="0.2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</row>
    <row r="897" spans="1:13" ht="12.75" customHeight="1" x14ac:dyDescent="0.2">
      <c r="A897" s="151"/>
      <c r="B897" s="151"/>
      <c r="C897" s="151"/>
      <c r="D897" s="151"/>
      <c r="E897" s="151"/>
      <c r="F897" s="151"/>
      <c r="G897" s="151"/>
      <c r="H897" s="151"/>
      <c r="I897" s="151"/>
      <c r="J897" s="151"/>
      <c r="K897" s="151"/>
      <c r="L897" s="151"/>
      <c r="M897" s="151"/>
    </row>
    <row r="898" spans="1:13" ht="12.75" customHeight="1" x14ac:dyDescent="0.2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</row>
    <row r="899" spans="1:13" ht="12.75" customHeight="1" x14ac:dyDescent="0.2">
      <c r="A899" s="151"/>
      <c r="B899" s="151"/>
      <c r="C899" s="151"/>
      <c r="D899" s="151"/>
      <c r="E899" s="151"/>
      <c r="F899" s="151"/>
      <c r="G899" s="151"/>
      <c r="H899" s="151"/>
      <c r="I899" s="151"/>
      <c r="J899" s="151"/>
      <c r="K899" s="151"/>
      <c r="L899" s="151"/>
      <c r="M899" s="151"/>
    </row>
    <row r="900" spans="1:13" ht="12.75" customHeight="1" x14ac:dyDescent="0.2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</row>
    <row r="901" spans="1:13" ht="12.75" customHeight="1" x14ac:dyDescent="0.2">
      <c r="A901" s="151"/>
      <c r="B901" s="151"/>
      <c r="C901" s="151"/>
      <c r="D901" s="151"/>
      <c r="E901" s="151"/>
      <c r="F901" s="151"/>
      <c r="G901" s="151"/>
      <c r="H901" s="151"/>
      <c r="I901" s="151"/>
      <c r="J901" s="151"/>
      <c r="K901" s="151"/>
      <c r="L901" s="151"/>
      <c r="M901" s="151"/>
    </row>
    <row r="902" spans="1:13" ht="12.75" customHeight="1" x14ac:dyDescent="0.2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</row>
    <row r="903" spans="1:13" ht="12.75" customHeight="1" x14ac:dyDescent="0.2">
      <c r="A903" s="151"/>
      <c r="B903" s="151"/>
      <c r="C903" s="151"/>
      <c r="D903" s="151"/>
      <c r="E903" s="151"/>
      <c r="F903" s="151"/>
      <c r="G903" s="151"/>
      <c r="H903" s="151"/>
      <c r="I903" s="151"/>
      <c r="J903" s="151"/>
      <c r="K903" s="151"/>
      <c r="L903" s="151"/>
      <c r="M903" s="151"/>
    </row>
    <row r="904" spans="1:13" ht="12.75" customHeight="1" x14ac:dyDescent="0.2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</row>
    <row r="905" spans="1:13" ht="12.75" customHeight="1" x14ac:dyDescent="0.2">
      <c r="A905" s="151"/>
      <c r="B905" s="151"/>
      <c r="C905" s="151"/>
      <c r="D905" s="151"/>
      <c r="E905" s="151"/>
      <c r="F905" s="151"/>
      <c r="G905" s="151"/>
      <c r="H905" s="151"/>
      <c r="I905" s="151"/>
      <c r="J905" s="151"/>
      <c r="K905" s="151"/>
      <c r="L905" s="151"/>
      <c r="M905" s="151"/>
    </row>
    <row r="906" spans="1:13" ht="12.75" customHeight="1" x14ac:dyDescent="0.2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</row>
    <row r="907" spans="1:13" ht="12.75" customHeight="1" x14ac:dyDescent="0.2">
      <c r="A907" s="151"/>
      <c r="B907" s="151"/>
      <c r="C907" s="151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</row>
    <row r="908" spans="1:13" ht="12.75" customHeight="1" x14ac:dyDescent="0.2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</row>
    <row r="909" spans="1:13" ht="12.75" customHeight="1" x14ac:dyDescent="0.2">
      <c r="A909" s="151"/>
      <c r="B909" s="151"/>
      <c r="C909" s="151"/>
      <c r="D909" s="151"/>
      <c r="E909" s="151"/>
      <c r="F909" s="151"/>
      <c r="G909" s="151"/>
      <c r="H909" s="151"/>
      <c r="I909" s="151"/>
      <c r="J909" s="151"/>
      <c r="K909" s="151"/>
      <c r="L909" s="151"/>
      <c r="M909" s="151"/>
    </row>
    <row r="910" spans="1:13" ht="12.75" customHeight="1" x14ac:dyDescent="0.2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</row>
    <row r="911" spans="1:13" ht="12.75" customHeight="1" x14ac:dyDescent="0.2">
      <c r="A911" s="151"/>
      <c r="B911" s="151"/>
      <c r="C911" s="151"/>
      <c r="D911" s="151"/>
      <c r="E911" s="151"/>
      <c r="F911" s="151"/>
      <c r="G911" s="151"/>
      <c r="H911" s="151"/>
      <c r="I911" s="151"/>
      <c r="J911" s="151"/>
      <c r="K911" s="151"/>
      <c r="L911" s="151"/>
      <c r="M911" s="151"/>
    </row>
    <row r="912" spans="1:13" ht="12.75" customHeight="1" x14ac:dyDescent="0.2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</row>
    <row r="913" spans="1:13" ht="12.75" customHeight="1" x14ac:dyDescent="0.2">
      <c r="A913" s="151"/>
      <c r="B913" s="151"/>
      <c r="C913" s="151"/>
      <c r="D913" s="151"/>
      <c r="E913" s="151"/>
      <c r="F913" s="151"/>
      <c r="G913" s="151"/>
      <c r="H913" s="151"/>
      <c r="I913" s="151"/>
      <c r="J913" s="151"/>
      <c r="K913" s="151"/>
      <c r="L913" s="151"/>
      <c r="M913" s="151"/>
    </row>
    <row r="914" spans="1:13" ht="12.75" customHeight="1" x14ac:dyDescent="0.2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</row>
    <row r="915" spans="1:13" ht="12.75" customHeight="1" x14ac:dyDescent="0.2">
      <c r="A915" s="151"/>
      <c r="B915" s="151"/>
      <c r="C915" s="151"/>
      <c r="D915" s="151"/>
      <c r="E915" s="151"/>
      <c r="F915" s="151"/>
      <c r="G915" s="151"/>
      <c r="H915" s="151"/>
      <c r="I915" s="151"/>
      <c r="J915" s="151"/>
      <c r="K915" s="151"/>
      <c r="L915" s="151"/>
      <c r="M915" s="151"/>
    </row>
    <row r="916" spans="1:13" ht="12.75" customHeight="1" x14ac:dyDescent="0.2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</row>
    <row r="917" spans="1:13" ht="12.75" customHeight="1" x14ac:dyDescent="0.2">
      <c r="A917" s="151"/>
      <c r="B917" s="151"/>
      <c r="C917" s="151"/>
      <c r="D917" s="151"/>
      <c r="E917" s="151"/>
      <c r="F917" s="151"/>
      <c r="G917" s="151"/>
      <c r="H917" s="151"/>
      <c r="I917" s="151"/>
      <c r="J917" s="151"/>
      <c r="K917" s="151"/>
      <c r="L917" s="151"/>
      <c r="M917" s="151"/>
    </row>
    <row r="918" spans="1:13" ht="12.75" customHeight="1" x14ac:dyDescent="0.2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</row>
    <row r="919" spans="1:13" ht="12.75" customHeight="1" x14ac:dyDescent="0.2">
      <c r="A919" s="151"/>
      <c r="B919" s="151"/>
      <c r="C919" s="151"/>
      <c r="D919" s="151"/>
      <c r="E919" s="151"/>
      <c r="F919" s="151"/>
      <c r="G919" s="151"/>
      <c r="H919" s="151"/>
      <c r="I919" s="151"/>
      <c r="J919" s="151"/>
      <c r="K919" s="151"/>
      <c r="L919" s="151"/>
      <c r="M919" s="151"/>
    </row>
    <row r="920" spans="1:13" ht="12.75" customHeight="1" x14ac:dyDescent="0.2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</row>
    <row r="921" spans="1:13" ht="12.75" customHeight="1" x14ac:dyDescent="0.2">
      <c r="A921" s="151"/>
      <c r="B921" s="151"/>
      <c r="C921" s="151"/>
      <c r="D921" s="151"/>
      <c r="E921" s="151"/>
      <c r="F921" s="151"/>
      <c r="G921" s="151"/>
      <c r="H921" s="151"/>
      <c r="I921" s="151"/>
      <c r="J921" s="151"/>
      <c r="K921" s="151"/>
      <c r="L921" s="151"/>
      <c r="M921" s="151"/>
    </row>
    <row r="922" spans="1:13" ht="12.75" customHeight="1" x14ac:dyDescent="0.2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</row>
    <row r="923" spans="1:13" ht="12.75" customHeight="1" x14ac:dyDescent="0.2">
      <c r="A923" s="151"/>
      <c r="B923" s="151"/>
      <c r="C923" s="151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</row>
    <row r="924" spans="1:13" ht="12.75" customHeight="1" x14ac:dyDescent="0.2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</row>
    <row r="925" spans="1:13" ht="12.75" customHeight="1" x14ac:dyDescent="0.2">
      <c r="A925" s="151"/>
      <c r="B925" s="151"/>
      <c r="C925" s="151"/>
      <c r="D925" s="151"/>
      <c r="E925" s="151"/>
      <c r="F925" s="151"/>
      <c r="G925" s="151"/>
      <c r="H925" s="151"/>
      <c r="I925" s="151"/>
      <c r="J925" s="151"/>
      <c r="K925" s="151"/>
      <c r="L925" s="151"/>
      <c r="M925" s="151"/>
    </row>
    <row r="926" spans="1:13" ht="12.75" customHeight="1" x14ac:dyDescent="0.2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</row>
    <row r="927" spans="1:13" ht="12.75" customHeight="1" x14ac:dyDescent="0.2">
      <c r="A927" s="151"/>
      <c r="B927" s="151"/>
      <c r="C927" s="151"/>
      <c r="D927" s="151"/>
      <c r="E927" s="151"/>
      <c r="F927" s="151"/>
      <c r="G927" s="151"/>
      <c r="H927" s="151"/>
      <c r="I927" s="151"/>
      <c r="J927" s="151"/>
      <c r="K927" s="151"/>
      <c r="L927" s="151"/>
      <c r="M927" s="151"/>
    </row>
    <row r="928" spans="1:13" ht="12.75" customHeight="1" x14ac:dyDescent="0.2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</row>
    <row r="929" spans="1:13" ht="12.75" customHeight="1" x14ac:dyDescent="0.2">
      <c r="A929" s="151"/>
      <c r="B929" s="151"/>
      <c r="C929" s="151"/>
      <c r="D929" s="151"/>
      <c r="E929" s="151"/>
      <c r="F929" s="151"/>
      <c r="G929" s="151"/>
      <c r="H929" s="151"/>
      <c r="I929" s="151"/>
      <c r="J929" s="151"/>
      <c r="K929" s="151"/>
      <c r="L929" s="151"/>
      <c r="M929" s="151"/>
    </row>
    <row r="930" spans="1:13" ht="12.75" customHeight="1" x14ac:dyDescent="0.2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</row>
    <row r="931" spans="1:13" ht="12.75" customHeight="1" x14ac:dyDescent="0.2">
      <c r="A931" s="151"/>
      <c r="B931" s="151"/>
      <c r="C931" s="151"/>
      <c r="D931" s="151"/>
      <c r="E931" s="151"/>
      <c r="F931" s="151"/>
      <c r="G931" s="151"/>
      <c r="H931" s="151"/>
      <c r="I931" s="151"/>
      <c r="J931" s="151"/>
      <c r="K931" s="151"/>
      <c r="L931" s="151"/>
      <c r="M931" s="151"/>
    </row>
    <row r="932" spans="1:13" ht="12.75" customHeight="1" x14ac:dyDescent="0.2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</row>
    <row r="933" spans="1:13" ht="12.75" customHeight="1" x14ac:dyDescent="0.2">
      <c r="A933" s="151"/>
      <c r="B933" s="151"/>
      <c r="C933" s="151"/>
      <c r="D933" s="151"/>
      <c r="E933" s="151"/>
      <c r="F933" s="151"/>
      <c r="G933" s="151"/>
      <c r="H933" s="151"/>
      <c r="I933" s="151"/>
      <c r="J933" s="151"/>
      <c r="K933" s="151"/>
      <c r="L933" s="151"/>
      <c r="M933" s="151"/>
    </row>
    <row r="934" spans="1:13" ht="12.75" customHeight="1" x14ac:dyDescent="0.2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</row>
    <row r="935" spans="1:13" ht="12.75" customHeight="1" x14ac:dyDescent="0.2">
      <c r="A935" s="151"/>
      <c r="B935" s="151"/>
      <c r="C935" s="151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</row>
    <row r="936" spans="1:13" ht="12.75" customHeight="1" x14ac:dyDescent="0.2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</row>
    <row r="937" spans="1:13" ht="12.75" customHeight="1" x14ac:dyDescent="0.2">
      <c r="A937" s="151"/>
      <c r="B937" s="151"/>
      <c r="C937" s="151"/>
      <c r="D937" s="151"/>
      <c r="E937" s="151"/>
      <c r="F937" s="151"/>
      <c r="G937" s="151"/>
      <c r="H937" s="151"/>
      <c r="I937" s="151"/>
      <c r="J937" s="151"/>
      <c r="K937" s="151"/>
      <c r="L937" s="151"/>
      <c r="M937" s="151"/>
    </row>
    <row r="938" spans="1:13" ht="12.75" customHeight="1" x14ac:dyDescent="0.2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</row>
    <row r="939" spans="1:13" ht="12.75" customHeight="1" x14ac:dyDescent="0.2">
      <c r="A939" s="151"/>
      <c r="B939" s="151"/>
      <c r="C939" s="151"/>
      <c r="D939" s="151"/>
      <c r="E939" s="151"/>
      <c r="F939" s="151"/>
      <c r="G939" s="151"/>
      <c r="H939" s="151"/>
      <c r="I939" s="151"/>
      <c r="J939" s="151"/>
      <c r="K939" s="151"/>
      <c r="L939" s="151"/>
      <c r="M939" s="151"/>
    </row>
    <row r="940" spans="1:13" ht="12.75" customHeight="1" x14ac:dyDescent="0.2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</row>
    <row r="941" spans="1:13" ht="12.75" customHeight="1" x14ac:dyDescent="0.2">
      <c r="A941" s="151"/>
      <c r="B941" s="151"/>
      <c r="C941" s="151"/>
      <c r="D941" s="151"/>
      <c r="E941" s="151"/>
      <c r="F941" s="151"/>
      <c r="G941" s="151"/>
      <c r="H941" s="151"/>
      <c r="I941" s="151"/>
      <c r="J941" s="151"/>
      <c r="K941" s="151"/>
      <c r="L941" s="151"/>
      <c r="M941" s="151"/>
    </row>
    <row r="942" spans="1:13" ht="12.75" customHeight="1" x14ac:dyDescent="0.2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</row>
    <row r="943" spans="1:13" ht="12.75" customHeight="1" x14ac:dyDescent="0.2">
      <c r="A943" s="151"/>
      <c r="B943" s="151"/>
      <c r="C943" s="151"/>
      <c r="D943" s="151"/>
      <c r="E943" s="151"/>
      <c r="F943" s="151"/>
      <c r="G943" s="151"/>
      <c r="H943" s="151"/>
      <c r="I943" s="151"/>
      <c r="J943" s="151"/>
      <c r="K943" s="151"/>
      <c r="L943" s="151"/>
      <c r="M943" s="151"/>
    </row>
    <row r="944" spans="1:13" ht="12.75" customHeight="1" x14ac:dyDescent="0.2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</row>
    <row r="945" spans="1:13" ht="12.75" customHeight="1" x14ac:dyDescent="0.2">
      <c r="A945" s="151"/>
      <c r="B945" s="151"/>
      <c r="C945" s="151"/>
      <c r="D945" s="151"/>
      <c r="E945" s="151"/>
      <c r="F945" s="151"/>
      <c r="G945" s="151"/>
      <c r="H945" s="151"/>
      <c r="I945" s="151"/>
      <c r="J945" s="151"/>
      <c r="K945" s="151"/>
      <c r="L945" s="151"/>
      <c r="M945" s="151"/>
    </row>
    <row r="946" spans="1:13" ht="12.75" customHeight="1" x14ac:dyDescent="0.2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</row>
    <row r="947" spans="1:13" ht="12.75" customHeight="1" x14ac:dyDescent="0.2">
      <c r="A947" s="151"/>
      <c r="B947" s="151"/>
      <c r="C947" s="151"/>
      <c r="D947" s="151"/>
      <c r="E947" s="151"/>
      <c r="F947" s="151"/>
      <c r="G947" s="151"/>
      <c r="H947" s="151"/>
      <c r="I947" s="151"/>
      <c r="J947" s="151"/>
      <c r="K947" s="151"/>
      <c r="L947" s="151"/>
      <c r="M947" s="151"/>
    </row>
    <row r="948" spans="1:13" ht="12.75" customHeight="1" x14ac:dyDescent="0.2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</row>
    <row r="949" spans="1:13" ht="12.75" customHeight="1" x14ac:dyDescent="0.2">
      <c r="A949" s="151"/>
      <c r="B949" s="151"/>
      <c r="C949" s="151"/>
      <c r="D949" s="151"/>
      <c r="E949" s="151"/>
      <c r="F949" s="151"/>
      <c r="G949" s="151"/>
      <c r="H949" s="151"/>
      <c r="I949" s="151"/>
      <c r="J949" s="151"/>
      <c r="K949" s="151"/>
      <c r="L949" s="151"/>
      <c r="M949" s="151"/>
    </row>
    <row r="950" spans="1:13" ht="12.75" customHeight="1" x14ac:dyDescent="0.2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</row>
    <row r="951" spans="1:13" ht="12.75" customHeight="1" x14ac:dyDescent="0.2">
      <c r="A951" s="151"/>
      <c r="B951" s="151"/>
      <c r="C951" s="151"/>
      <c r="D951" s="151"/>
      <c r="E951" s="151"/>
      <c r="F951" s="151"/>
      <c r="G951" s="151"/>
      <c r="H951" s="151"/>
      <c r="I951" s="151"/>
      <c r="J951" s="151"/>
      <c r="K951" s="151"/>
      <c r="L951" s="151"/>
      <c r="M951" s="151"/>
    </row>
    <row r="952" spans="1:13" ht="12.75" customHeight="1" x14ac:dyDescent="0.2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</row>
    <row r="953" spans="1:13" ht="12.75" customHeight="1" x14ac:dyDescent="0.2">
      <c r="A953" s="151"/>
      <c r="B953" s="151"/>
      <c r="C953" s="151"/>
      <c r="D953" s="151"/>
      <c r="E953" s="151"/>
      <c r="F953" s="151"/>
      <c r="G953" s="151"/>
      <c r="H953" s="151"/>
      <c r="I953" s="151"/>
      <c r="J953" s="151"/>
      <c r="K953" s="151"/>
      <c r="L953" s="151"/>
      <c r="M953" s="151"/>
    </row>
    <row r="954" spans="1:13" ht="12.75" customHeight="1" x14ac:dyDescent="0.2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</row>
    <row r="955" spans="1:13" ht="12.75" customHeight="1" x14ac:dyDescent="0.2">
      <c r="A955" s="151"/>
      <c r="B955" s="151"/>
      <c r="C955" s="151"/>
      <c r="D955" s="151"/>
      <c r="E955" s="151"/>
      <c r="F955" s="151"/>
      <c r="G955" s="151"/>
      <c r="H955" s="151"/>
      <c r="I955" s="151"/>
      <c r="J955" s="151"/>
      <c r="K955" s="151"/>
      <c r="L955" s="151"/>
      <c r="M955" s="151"/>
    </row>
    <row r="956" spans="1:13" ht="12.75" customHeight="1" x14ac:dyDescent="0.2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</row>
    <row r="957" spans="1:13" ht="12.75" customHeight="1" x14ac:dyDescent="0.2">
      <c r="A957" s="151"/>
      <c r="B957" s="151"/>
      <c r="C957" s="151"/>
      <c r="D957" s="151"/>
      <c r="E957" s="151"/>
      <c r="F957" s="151"/>
      <c r="G957" s="151"/>
      <c r="H957" s="151"/>
      <c r="I957" s="151"/>
      <c r="J957" s="151"/>
      <c r="K957" s="151"/>
      <c r="L957" s="151"/>
      <c r="M957" s="151"/>
    </row>
    <row r="958" spans="1:13" ht="12.75" customHeight="1" x14ac:dyDescent="0.2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</row>
    <row r="959" spans="1:13" ht="12.75" customHeight="1" x14ac:dyDescent="0.2">
      <c r="A959" s="151"/>
      <c r="B959" s="151"/>
      <c r="C959" s="151"/>
      <c r="D959" s="151"/>
      <c r="E959" s="151"/>
      <c r="F959" s="151"/>
      <c r="G959" s="151"/>
      <c r="H959" s="151"/>
      <c r="I959" s="151"/>
      <c r="J959" s="151"/>
      <c r="K959" s="151"/>
      <c r="L959" s="151"/>
      <c r="M959" s="151"/>
    </row>
    <row r="960" spans="1:13" ht="12.75" customHeight="1" x14ac:dyDescent="0.2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</row>
    <row r="961" spans="1:13" ht="12.75" customHeight="1" x14ac:dyDescent="0.2">
      <c r="A961" s="151"/>
      <c r="B961" s="151"/>
      <c r="C961" s="151"/>
      <c r="D961" s="151"/>
      <c r="E961" s="151"/>
      <c r="F961" s="151"/>
      <c r="G961" s="151"/>
      <c r="H961" s="151"/>
      <c r="I961" s="151"/>
      <c r="J961" s="151"/>
      <c r="K961" s="151"/>
      <c r="L961" s="151"/>
      <c r="M961" s="151"/>
    </row>
    <row r="962" spans="1:13" ht="12.75" customHeight="1" x14ac:dyDescent="0.2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</row>
    <row r="963" spans="1:13" ht="12.75" customHeight="1" x14ac:dyDescent="0.2">
      <c r="A963" s="151"/>
      <c r="B963" s="151"/>
      <c r="C963" s="151"/>
      <c r="D963" s="151"/>
      <c r="E963" s="151"/>
      <c r="F963" s="151"/>
      <c r="G963" s="151"/>
      <c r="H963" s="151"/>
      <c r="I963" s="151"/>
      <c r="J963" s="151"/>
      <c r="K963" s="151"/>
      <c r="L963" s="151"/>
      <c r="M963" s="151"/>
    </row>
    <row r="964" spans="1:13" ht="12.75" customHeight="1" x14ac:dyDescent="0.2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</row>
    <row r="965" spans="1:13" ht="12.75" customHeight="1" x14ac:dyDescent="0.2">
      <c r="A965" s="151"/>
      <c r="B965" s="151"/>
      <c r="C965" s="151"/>
      <c r="D965" s="151"/>
      <c r="E965" s="151"/>
      <c r="F965" s="151"/>
      <c r="G965" s="151"/>
      <c r="H965" s="151"/>
      <c r="I965" s="151"/>
      <c r="J965" s="151"/>
      <c r="K965" s="151"/>
      <c r="L965" s="151"/>
      <c r="M965" s="151"/>
    </row>
    <row r="966" spans="1:13" ht="12.75" customHeight="1" x14ac:dyDescent="0.2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</row>
    <row r="967" spans="1:13" ht="12.75" customHeight="1" x14ac:dyDescent="0.2">
      <c r="A967" s="151"/>
      <c r="B967" s="151"/>
      <c r="C967" s="151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</row>
    <row r="968" spans="1:13" ht="12.75" customHeight="1" x14ac:dyDescent="0.2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</row>
    <row r="969" spans="1:13" ht="12.75" customHeight="1" x14ac:dyDescent="0.2">
      <c r="A969" s="151"/>
      <c r="B969" s="151"/>
      <c r="C969" s="151"/>
      <c r="D969" s="151"/>
      <c r="E969" s="151"/>
      <c r="F969" s="151"/>
      <c r="G969" s="151"/>
      <c r="H969" s="151"/>
      <c r="I969" s="151"/>
      <c r="J969" s="151"/>
      <c r="K969" s="151"/>
      <c r="L969" s="151"/>
      <c r="M969" s="151"/>
    </row>
    <row r="970" spans="1:13" ht="12.75" customHeight="1" x14ac:dyDescent="0.2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</row>
    <row r="971" spans="1:13" ht="12.75" customHeight="1" x14ac:dyDescent="0.2">
      <c r="A971" s="151"/>
      <c r="B971" s="151"/>
      <c r="C971" s="151"/>
      <c r="D971" s="151"/>
      <c r="E971" s="151"/>
      <c r="F971" s="151"/>
      <c r="G971" s="151"/>
      <c r="H971" s="151"/>
      <c r="I971" s="151"/>
      <c r="J971" s="151"/>
      <c r="K971" s="151"/>
      <c r="L971" s="151"/>
      <c r="M971" s="151"/>
    </row>
    <row r="972" spans="1:13" ht="12.75" customHeight="1" x14ac:dyDescent="0.2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</row>
    <row r="973" spans="1:13" ht="12.75" customHeight="1" x14ac:dyDescent="0.2">
      <c r="A973" s="151"/>
      <c r="B973" s="151"/>
      <c r="C973" s="151"/>
      <c r="D973" s="151"/>
      <c r="E973" s="151"/>
      <c r="F973" s="151"/>
      <c r="G973" s="151"/>
      <c r="H973" s="151"/>
      <c r="I973" s="151"/>
      <c r="J973" s="151"/>
      <c r="K973" s="151"/>
      <c r="L973" s="151"/>
      <c r="M973" s="151"/>
    </row>
    <row r="974" spans="1:13" ht="12.75" customHeight="1" x14ac:dyDescent="0.2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</row>
    <row r="975" spans="1:13" ht="12.75" customHeight="1" x14ac:dyDescent="0.2">
      <c r="A975" s="151"/>
      <c r="B975" s="151"/>
      <c r="C975" s="151"/>
      <c r="D975" s="151"/>
      <c r="E975" s="151"/>
      <c r="F975" s="151"/>
      <c r="G975" s="151"/>
      <c r="H975" s="151"/>
      <c r="I975" s="151"/>
      <c r="J975" s="151"/>
      <c r="K975" s="151"/>
      <c r="L975" s="151"/>
      <c r="M975" s="151"/>
    </row>
    <row r="976" spans="1:13" ht="12.75" customHeight="1" x14ac:dyDescent="0.2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</row>
    <row r="977" spans="1:13" ht="12.75" customHeight="1" x14ac:dyDescent="0.2">
      <c r="A977" s="151"/>
      <c r="B977" s="151"/>
      <c r="C977" s="151"/>
      <c r="D977" s="151"/>
      <c r="E977" s="151"/>
      <c r="F977" s="151"/>
      <c r="G977" s="151"/>
      <c r="H977" s="151"/>
      <c r="I977" s="151"/>
      <c r="J977" s="151"/>
      <c r="K977" s="151"/>
      <c r="L977" s="151"/>
      <c r="M977" s="151"/>
    </row>
    <row r="978" spans="1:13" ht="12.75" customHeight="1" x14ac:dyDescent="0.2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</row>
    <row r="979" spans="1:13" ht="12.75" customHeight="1" x14ac:dyDescent="0.2">
      <c r="A979" s="151"/>
      <c r="B979" s="151"/>
      <c r="C979" s="151"/>
      <c r="D979" s="151"/>
      <c r="E979" s="151"/>
      <c r="F979" s="151"/>
      <c r="G979" s="151"/>
      <c r="H979" s="151"/>
      <c r="I979" s="151"/>
      <c r="J979" s="151"/>
      <c r="K979" s="151"/>
      <c r="L979" s="151"/>
      <c r="M979" s="151"/>
    </row>
    <row r="980" spans="1:13" ht="12.75" customHeight="1" x14ac:dyDescent="0.2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</row>
    <row r="981" spans="1:13" ht="12.75" customHeight="1" x14ac:dyDescent="0.2">
      <c r="A981" s="151"/>
      <c r="B981" s="151"/>
      <c r="C981" s="151"/>
      <c r="D981" s="151"/>
      <c r="E981" s="151"/>
      <c r="F981" s="151"/>
      <c r="G981" s="151"/>
      <c r="H981" s="151"/>
      <c r="I981" s="151"/>
      <c r="J981" s="151"/>
      <c r="K981" s="151"/>
      <c r="L981" s="151"/>
      <c r="M981" s="151"/>
    </row>
    <row r="982" spans="1:13" ht="12.75" customHeight="1" x14ac:dyDescent="0.2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</row>
    <row r="983" spans="1:13" ht="12.75" customHeight="1" x14ac:dyDescent="0.2">
      <c r="A983" s="151"/>
      <c r="B983" s="151"/>
      <c r="C983" s="151"/>
      <c r="D983" s="151"/>
      <c r="E983" s="151"/>
      <c r="F983" s="151"/>
      <c r="G983" s="151"/>
      <c r="H983" s="151"/>
      <c r="I983" s="151"/>
      <c r="J983" s="151"/>
      <c r="K983" s="151"/>
      <c r="L983" s="151"/>
      <c r="M983" s="151"/>
    </row>
    <row r="984" spans="1:13" ht="12.75" customHeight="1" x14ac:dyDescent="0.2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</row>
    <row r="985" spans="1:13" ht="12.75" customHeight="1" x14ac:dyDescent="0.2">
      <c r="A985" s="151"/>
      <c r="B985" s="151"/>
      <c r="C985" s="151"/>
      <c r="D985" s="151"/>
      <c r="E985" s="151"/>
      <c r="F985" s="151"/>
      <c r="G985" s="151"/>
      <c r="H985" s="151"/>
      <c r="I985" s="151"/>
      <c r="J985" s="151"/>
      <c r="K985" s="151"/>
      <c r="L985" s="151"/>
      <c r="M985" s="151"/>
    </row>
    <row r="986" spans="1:13" ht="12.75" customHeight="1" x14ac:dyDescent="0.2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</row>
    <row r="987" spans="1:13" ht="12.75" customHeight="1" x14ac:dyDescent="0.2">
      <c r="A987" s="151"/>
      <c r="B987" s="151"/>
      <c r="C987" s="151"/>
      <c r="D987" s="151"/>
      <c r="E987" s="151"/>
      <c r="F987" s="151"/>
      <c r="G987" s="151"/>
      <c r="H987" s="151"/>
      <c r="I987" s="151"/>
      <c r="J987" s="151"/>
      <c r="K987" s="151"/>
      <c r="L987" s="151"/>
      <c r="M987" s="151"/>
    </row>
    <row r="988" spans="1:13" ht="12.75" customHeight="1" x14ac:dyDescent="0.2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</row>
    <row r="989" spans="1:13" ht="12.75" customHeight="1" x14ac:dyDescent="0.2">
      <c r="A989" s="151"/>
      <c r="B989" s="151"/>
      <c r="C989" s="151"/>
      <c r="D989" s="151"/>
      <c r="E989" s="151"/>
      <c r="F989" s="151"/>
      <c r="G989" s="151"/>
      <c r="H989" s="151"/>
      <c r="I989" s="151"/>
      <c r="J989" s="151"/>
      <c r="K989" s="151"/>
      <c r="L989" s="151"/>
      <c r="M989" s="151"/>
    </row>
    <row r="990" spans="1:13" ht="12.75" customHeight="1" x14ac:dyDescent="0.2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</row>
    <row r="991" spans="1:13" ht="12.75" customHeight="1" x14ac:dyDescent="0.2">
      <c r="A991" s="151"/>
      <c r="B991" s="151"/>
      <c r="C991" s="151"/>
      <c r="D991" s="151"/>
      <c r="E991" s="151"/>
      <c r="F991" s="151"/>
      <c r="G991" s="151"/>
      <c r="H991" s="151"/>
      <c r="I991" s="151"/>
      <c r="J991" s="151"/>
      <c r="K991" s="151"/>
      <c r="L991" s="151"/>
      <c r="M991" s="151"/>
    </row>
    <row r="992" spans="1:13" ht="12.75" customHeight="1" x14ac:dyDescent="0.2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</row>
    <row r="993" spans="1:13" ht="12.75" customHeight="1" x14ac:dyDescent="0.2">
      <c r="A993" s="151"/>
      <c r="B993" s="151"/>
      <c r="C993" s="151"/>
      <c r="D993" s="151"/>
      <c r="E993" s="151"/>
      <c r="F993" s="151"/>
      <c r="G993" s="151"/>
      <c r="H993" s="151"/>
      <c r="I993" s="151"/>
      <c r="J993" s="151"/>
      <c r="K993" s="151"/>
      <c r="L993" s="151"/>
      <c r="M993" s="151"/>
    </row>
    <row r="994" spans="1:13" ht="12.75" customHeight="1" x14ac:dyDescent="0.2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</row>
    <row r="995" spans="1:13" ht="12.75" customHeight="1" x14ac:dyDescent="0.2">
      <c r="A995" s="151"/>
      <c r="B995" s="151"/>
      <c r="C995" s="151"/>
      <c r="D995" s="151"/>
      <c r="E995" s="151"/>
      <c r="F995" s="151"/>
      <c r="G995" s="151"/>
      <c r="H995" s="151"/>
      <c r="I995" s="151"/>
      <c r="J995" s="151"/>
      <c r="K995" s="151"/>
      <c r="L995" s="151"/>
      <c r="M995" s="151"/>
    </row>
    <row r="996" spans="1:13" ht="12.75" customHeight="1" x14ac:dyDescent="0.2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</row>
    <row r="997" spans="1:13" ht="12.75" customHeight="1" x14ac:dyDescent="0.2">
      <c r="A997" s="151"/>
      <c r="B997" s="151"/>
      <c r="C997" s="151"/>
      <c r="D997" s="151"/>
      <c r="E997" s="151"/>
      <c r="F997" s="151"/>
      <c r="G997" s="151"/>
      <c r="H997" s="151"/>
      <c r="I997" s="151"/>
      <c r="J997" s="151"/>
      <c r="K997" s="151"/>
      <c r="L997" s="151"/>
      <c r="M997" s="151"/>
    </row>
    <row r="998" spans="1:13" ht="12.75" customHeight="1" x14ac:dyDescent="0.2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</row>
    <row r="999" spans="1:13" ht="12.75" customHeight="1" x14ac:dyDescent="0.2">
      <c r="A999" s="151"/>
      <c r="B999" s="151"/>
      <c r="C999" s="151"/>
      <c r="D999" s="151"/>
      <c r="E999" s="151"/>
      <c r="F999" s="151"/>
      <c r="G999" s="151"/>
      <c r="H999" s="151"/>
      <c r="I999" s="151"/>
      <c r="J999" s="151"/>
      <c r="K999" s="151"/>
      <c r="L999" s="151"/>
      <c r="M999" s="151"/>
    </row>
    <row r="1000" spans="1:13" ht="12.75" customHeight="1" x14ac:dyDescent="0.2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</row>
    <row r="1001" spans="1:13" ht="12.75" customHeight="1" x14ac:dyDescent="0.2">
      <c r="A1001" s="151"/>
      <c r="B1001" s="151"/>
      <c r="C1001" s="151"/>
      <c r="D1001" s="151"/>
      <c r="E1001" s="151"/>
      <c r="F1001" s="151"/>
      <c r="G1001" s="151"/>
      <c r="H1001" s="151"/>
      <c r="I1001" s="151"/>
      <c r="J1001" s="151"/>
      <c r="K1001" s="151"/>
      <c r="L1001" s="151"/>
      <c r="M1001" s="151"/>
    </row>
  </sheetData>
  <mergeCells count="2">
    <mergeCell ref="A3:C3"/>
    <mergeCell ref="A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21"/>
  <sheetViews>
    <sheetView zoomScale="85" zoomScaleNormal="8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L11" sqref="AL11"/>
    </sheetView>
  </sheetViews>
  <sheetFormatPr defaultColWidth="9" defaultRowHeight="15.75" x14ac:dyDescent="0.25"/>
  <cols>
    <col min="1" max="1" width="4.25" style="166" customWidth="1"/>
    <col min="2" max="2" width="5" style="166" hidden="1" customWidth="1"/>
    <col min="3" max="3" width="7.25" style="166" hidden="1" customWidth="1"/>
    <col min="4" max="4" width="8.625" style="166" hidden="1" customWidth="1"/>
    <col min="5" max="5" width="6.625" style="166" hidden="1" customWidth="1"/>
    <col min="6" max="6" width="21.375" style="166" customWidth="1"/>
    <col min="7" max="10" width="12.125" style="166" customWidth="1"/>
    <col min="11" max="20" width="12.125" style="166" hidden="1" customWidth="1"/>
    <col min="21" max="21" width="12.125" style="259" hidden="1" customWidth="1"/>
    <col min="22" max="22" width="11.625" style="216" hidden="1" customWidth="1"/>
    <col min="23" max="23" width="12.75" style="216" hidden="1" customWidth="1"/>
    <col min="24" max="24" width="13.375" style="216" hidden="1" customWidth="1"/>
    <col min="25" max="25" width="13.125" style="216" hidden="1" customWidth="1"/>
    <col min="26" max="26" width="13" style="216" hidden="1" customWidth="1"/>
    <col min="27" max="27" width="13.125" style="216" hidden="1" customWidth="1"/>
    <col min="28" max="28" width="16.875" style="216" hidden="1" customWidth="1"/>
    <col min="29" max="29" width="9" style="216" hidden="1" customWidth="1"/>
    <col min="30" max="30" width="10.875" style="216" hidden="1" customWidth="1"/>
    <col min="31" max="31" width="9.875" style="216" hidden="1" customWidth="1"/>
    <col min="32" max="32" width="10.25" style="216" hidden="1" customWidth="1"/>
    <col min="33" max="34" width="0" style="166" hidden="1" customWidth="1"/>
    <col min="35" max="35" width="9" style="166"/>
    <col min="36" max="36" width="12.75" style="166" customWidth="1"/>
    <col min="37" max="37" width="9" style="166"/>
    <col min="38" max="38" width="13.375" style="166" customWidth="1"/>
    <col min="39" max="16384" width="9" style="166"/>
  </cols>
  <sheetData>
    <row r="2" spans="1:39" x14ac:dyDescent="0.25">
      <c r="A2" s="287" t="s">
        <v>62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</row>
    <row r="3" spans="1:39" x14ac:dyDescent="0.25">
      <c r="A3" s="288" t="s">
        <v>273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</row>
    <row r="4" spans="1:39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</row>
    <row r="5" spans="1:39" x14ac:dyDescent="0.25">
      <c r="B5" s="150"/>
      <c r="C5" s="150"/>
      <c r="D5" s="150"/>
      <c r="E5" s="150"/>
      <c r="AD5" s="289"/>
      <c r="AE5" s="289"/>
      <c r="AF5" s="289"/>
      <c r="AG5" s="289"/>
    </row>
    <row r="6" spans="1:39" ht="43.5" customHeight="1" x14ac:dyDescent="0.25">
      <c r="A6" s="291" t="s">
        <v>33</v>
      </c>
      <c r="B6" s="219" t="s">
        <v>55</v>
      </c>
      <c r="C6" s="220" t="s">
        <v>56</v>
      </c>
      <c r="D6" s="220" t="s">
        <v>57</v>
      </c>
      <c r="E6" s="219" t="s">
        <v>58</v>
      </c>
      <c r="F6" s="291" t="s">
        <v>247</v>
      </c>
      <c r="G6" s="291" t="s">
        <v>251</v>
      </c>
      <c r="H6" s="291"/>
      <c r="I6" s="291"/>
      <c r="J6" s="291"/>
      <c r="K6" s="291" t="s">
        <v>254</v>
      </c>
      <c r="L6" s="291"/>
      <c r="M6" s="291"/>
      <c r="N6" s="291"/>
      <c r="O6" s="291" t="s">
        <v>260</v>
      </c>
      <c r="P6" s="291"/>
      <c r="Q6" s="291"/>
      <c r="R6" s="291"/>
      <c r="S6" s="297" t="s">
        <v>263</v>
      </c>
      <c r="T6" s="297"/>
      <c r="U6" s="297"/>
      <c r="V6" s="297"/>
      <c r="W6" s="297"/>
      <c r="X6" s="297"/>
      <c r="Y6" s="297"/>
      <c r="Z6" s="297"/>
      <c r="AA6" s="297" t="s">
        <v>34</v>
      </c>
      <c r="AB6" s="297"/>
      <c r="AC6" s="297"/>
      <c r="AD6" s="297"/>
      <c r="AE6" s="254" t="s">
        <v>246</v>
      </c>
      <c r="AF6" s="254"/>
      <c r="AG6" s="217" t="s">
        <v>31</v>
      </c>
      <c r="AH6" s="226"/>
      <c r="AI6" s="300" t="s">
        <v>278</v>
      </c>
      <c r="AJ6" s="301"/>
      <c r="AK6" s="301"/>
      <c r="AL6" s="301"/>
      <c r="AM6" s="302"/>
    </row>
    <row r="7" spans="1:39" ht="93.75" customHeight="1" x14ac:dyDescent="0.25">
      <c r="A7" s="291"/>
      <c r="B7" s="219"/>
      <c r="C7" s="220"/>
      <c r="D7" s="220"/>
      <c r="E7" s="219"/>
      <c r="F7" s="291"/>
      <c r="G7" s="217" t="s">
        <v>257</v>
      </c>
      <c r="H7" s="217" t="s">
        <v>258</v>
      </c>
      <c r="I7" s="217" t="s">
        <v>253</v>
      </c>
      <c r="J7" s="217" t="s">
        <v>252</v>
      </c>
      <c r="K7" s="217" t="s">
        <v>255</v>
      </c>
      <c r="L7" s="217" t="s">
        <v>259</v>
      </c>
      <c r="M7" s="217" t="s">
        <v>253</v>
      </c>
      <c r="N7" s="217" t="s">
        <v>256</v>
      </c>
      <c r="O7" s="217" t="s">
        <v>255</v>
      </c>
      <c r="P7" s="217" t="s">
        <v>261</v>
      </c>
      <c r="Q7" s="217" t="s">
        <v>253</v>
      </c>
      <c r="R7" s="217" t="s">
        <v>262</v>
      </c>
      <c r="S7" s="260" t="s">
        <v>272</v>
      </c>
      <c r="T7" s="260" t="s">
        <v>264</v>
      </c>
      <c r="U7" s="260" t="s">
        <v>253</v>
      </c>
      <c r="V7" s="217" t="s">
        <v>265</v>
      </c>
      <c r="W7" s="254" t="s">
        <v>53</v>
      </c>
      <c r="X7" s="254" t="s">
        <v>51</v>
      </c>
      <c r="Y7" s="254" t="s">
        <v>52</v>
      </c>
      <c r="Z7" s="217" t="s">
        <v>272</v>
      </c>
      <c r="AA7" s="254" t="s">
        <v>249</v>
      </c>
      <c r="AB7" s="254" t="s">
        <v>250</v>
      </c>
      <c r="AC7" s="254" t="s">
        <v>38</v>
      </c>
      <c r="AD7" s="254" t="s">
        <v>39</v>
      </c>
      <c r="AE7" s="254" t="s">
        <v>133</v>
      </c>
      <c r="AF7" s="254" t="s">
        <v>134</v>
      </c>
      <c r="AG7" s="249"/>
      <c r="AH7" s="249" t="s">
        <v>128</v>
      </c>
      <c r="AI7" s="217" t="s">
        <v>257</v>
      </c>
      <c r="AJ7" s="217" t="s">
        <v>275</v>
      </c>
      <c r="AK7" s="217" t="s">
        <v>253</v>
      </c>
      <c r="AL7" s="273" t="s">
        <v>276</v>
      </c>
      <c r="AM7" s="217" t="s">
        <v>277</v>
      </c>
    </row>
    <row r="8" spans="1:39" s="221" customFormat="1" ht="31.9" customHeight="1" x14ac:dyDescent="0.25">
      <c r="A8" s="217" t="s">
        <v>10</v>
      </c>
      <c r="B8" s="219"/>
      <c r="C8" s="220"/>
      <c r="D8" s="220"/>
      <c r="E8" s="219"/>
      <c r="F8" s="222" t="s">
        <v>40</v>
      </c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60"/>
      <c r="T8" s="260"/>
      <c r="U8" s="260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49"/>
      <c r="AH8" s="233"/>
      <c r="AI8" s="233"/>
      <c r="AJ8" s="233"/>
      <c r="AK8" s="233"/>
      <c r="AL8" s="233"/>
      <c r="AM8" s="233"/>
    </row>
    <row r="9" spans="1:39" s="221" customFormat="1" ht="26.25" customHeight="1" x14ac:dyDescent="0.25">
      <c r="A9" s="217"/>
      <c r="B9" s="219"/>
      <c r="C9" s="220"/>
      <c r="D9" s="220"/>
      <c r="E9" s="219"/>
      <c r="F9" s="224" t="s">
        <v>220</v>
      </c>
      <c r="G9" s="256">
        <v>14150</v>
      </c>
      <c r="H9" s="256">
        <v>18962</v>
      </c>
      <c r="I9" s="256">
        <f>G9+H9</f>
        <v>33112</v>
      </c>
      <c r="J9" s="256">
        <v>33100</v>
      </c>
      <c r="K9" s="256">
        <f>G9</f>
        <v>14150</v>
      </c>
      <c r="L9" s="256">
        <f>H9/1150*1390</f>
        <v>22919.286956521741</v>
      </c>
      <c r="M9" s="256">
        <f>K9+L9</f>
        <v>37069.286956521741</v>
      </c>
      <c r="N9" s="256">
        <v>37000</v>
      </c>
      <c r="O9" s="256">
        <f>K9</f>
        <v>14150</v>
      </c>
      <c r="P9" s="256">
        <f>L9/1390*1490</f>
        <v>24568.156521739129</v>
      </c>
      <c r="Q9" s="256">
        <f>O9+P9</f>
        <v>38718.156521739133</v>
      </c>
      <c r="R9" s="256">
        <v>38700</v>
      </c>
      <c r="S9" s="257">
        <f>O9</f>
        <v>14150</v>
      </c>
      <c r="T9" s="257">
        <f>P9*1800/1490</f>
        <v>29679.65217391304</v>
      </c>
      <c r="U9" s="257">
        <f>S9+T9</f>
        <v>43829.65217391304</v>
      </c>
      <c r="V9" s="225">
        <v>42100</v>
      </c>
      <c r="W9" s="225">
        <f>+ROUNDDOWN(X9,-2)</f>
        <v>42100</v>
      </c>
      <c r="X9" s="225">
        <f>Y9+Z9</f>
        <v>42195</v>
      </c>
      <c r="Y9" s="228">
        <v>28045</v>
      </c>
      <c r="Z9" s="225">
        <v>14150</v>
      </c>
      <c r="AA9" s="225">
        <f>+ROUNDDOWN(AB9,-2)</f>
        <v>50600</v>
      </c>
      <c r="AB9" s="225">
        <f>AC9+AD9</f>
        <v>50608.5</v>
      </c>
      <c r="AC9" s="225">
        <f>Y9*2340/1800</f>
        <v>36458.5</v>
      </c>
      <c r="AD9" s="225">
        <v>14150</v>
      </c>
      <c r="AE9" s="225" t="str">
        <f>'Công khám BM'!C4</f>
        <v>50.600</v>
      </c>
      <c r="AF9" s="225">
        <f>'Công khám CR'!C10</f>
        <v>50600</v>
      </c>
      <c r="AG9" s="249"/>
      <c r="AH9" s="233"/>
      <c r="AI9" s="228">
        <f>G9</f>
        <v>14150</v>
      </c>
      <c r="AJ9" s="274">
        <f>H9*2340/1150</f>
        <v>38583.547826086957</v>
      </c>
      <c r="AK9" s="274">
        <f>AI9+AJ9</f>
        <v>52733.547826086957</v>
      </c>
      <c r="AL9" s="275" t="e">
        <f>#REF!</f>
        <v>#REF!</v>
      </c>
      <c r="AM9" s="275" t="e">
        <f>AL9</f>
        <v>#REF!</v>
      </c>
    </row>
    <row r="10" spans="1:39" x14ac:dyDescent="0.25">
      <c r="A10" s="223">
        <v>1</v>
      </c>
      <c r="B10" s="217"/>
      <c r="C10" s="217"/>
      <c r="D10" s="217"/>
      <c r="E10" s="217"/>
      <c r="F10" s="224" t="s">
        <v>41</v>
      </c>
      <c r="G10" s="256">
        <v>14150</v>
      </c>
      <c r="H10" s="256">
        <v>18962</v>
      </c>
      <c r="I10" s="256">
        <f t="shared" ref="I10:I15" si="0">G10+H10</f>
        <v>33112</v>
      </c>
      <c r="J10" s="256">
        <v>33100</v>
      </c>
      <c r="K10" s="256">
        <f t="shared" ref="K10:K14" si="1">G10</f>
        <v>14150</v>
      </c>
      <c r="L10" s="256">
        <f t="shared" ref="L10:L14" si="2">H10/1150*1390</f>
        <v>22919.286956521741</v>
      </c>
      <c r="M10" s="256">
        <f t="shared" ref="M10:M15" si="3">K10+L10</f>
        <v>37069.286956521741</v>
      </c>
      <c r="N10" s="256">
        <v>37000</v>
      </c>
      <c r="O10" s="256">
        <f t="shared" ref="O10:O14" si="4">K10</f>
        <v>14150</v>
      </c>
      <c r="P10" s="256">
        <f t="shared" ref="P10:P14" si="5">L10/1390*1490</f>
        <v>24568.156521739129</v>
      </c>
      <c r="Q10" s="256">
        <f t="shared" ref="Q10:Q14" si="6">O10+P10</f>
        <v>38718.156521739133</v>
      </c>
      <c r="R10" s="256">
        <v>38700</v>
      </c>
      <c r="S10" s="257">
        <f t="shared" ref="S10:S13" si="7">O10</f>
        <v>14150</v>
      </c>
      <c r="T10" s="257">
        <f t="shared" ref="T10:T13" si="8">P10*1800/1490</f>
        <v>29679.65217391304</v>
      </c>
      <c r="U10" s="257">
        <f t="shared" ref="U10:U14" si="9">S10+T10</f>
        <v>43829.65217391304</v>
      </c>
      <c r="V10" s="225">
        <v>42100</v>
      </c>
      <c r="W10" s="225">
        <f>+ROUNDDOWN(X10,-2)</f>
        <v>42100</v>
      </c>
      <c r="X10" s="225">
        <f>Y10+Z10</f>
        <v>42195</v>
      </c>
      <c r="Y10" s="228">
        <v>28045</v>
      </c>
      <c r="Z10" s="225">
        <v>14150</v>
      </c>
      <c r="AA10" s="225">
        <f>+ROUNDDOWN(AB10,-2)</f>
        <v>50600</v>
      </c>
      <c r="AB10" s="225">
        <f>AC10+AD10</f>
        <v>50608.5</v>
      </c>
      <c r="AC10" s="225">
        <f>Y10*2340/1800</f>
        <v>36458.5</v>
      </c>
      <c r="AD10" s="225">
        <v>14150</v>
      </c>
      <c r="AE10" s="225"/>
      <c r="AF10" s="225"/>
      <c r="AG10" s="249"/>
      <c r="AH10" s="272">
        <v>50600</v>
      </c>
      <c r="AI10" s="228">
        <f t="shared" ref="AI10:AI14" si="10">G10</f>
        <v>14150</v>
      </c>
      <c r="AJ10" s="274">
        <f t="shared" ref="AJ10:AJ14" si="11">H10*2340/1150</f>
        <v>38583.547826086957</v>
      </c>
      <c r="AK10" s="274">
        <f t="shared" ref="AK10:AK14" si="12">AI10+AJ10</f>
        <v>52733.547826086957</v>
      </c>
      <c r="AL10" s="275">
        <v>50600</v>
      </c>
      <c r="AM10" s="275">
        <f t="shared" ref="AM10:AM14" si="13">MIN(AL10,AK10)</f>
        <v>50600</v>
      </c>
    </row>
    <row r="11" spans="1:39" x14ac:dyDescent="0.25">
      <c r="A11" s="223">
        <v>2</v>
      </c>
      <c r="B11" s="217"/>
      <c r="C11" s="217"/>
      <c r="D11" s="217"/>
      <c r="E11" s="217"/>
      <c r="F11" s="224" t="s">
        <v>42</v>
      </c>
      <c r="G11" s="256">
        <v>12922</v>
      </c>
      <c r="H11" s="256">
        <v>16706</v>
      </c>
      <c r="I11" s="256">
        <f t="shared" si="0"/>
        <v>29628</v>
      </c>
      <c r="J11" s="256">
        <v>29600</v>
      </c>
      <c r="K11" s="256">
        <f t="shared" si="1"/>
        <v>12922</v>
      </c>
      <c r="L11" s="256">
        <f t="shared" si="2"/>
        <v>20192.46956521739</v>
      </c>
      <c r="M11" s="256">
        <f t="shared" si="3"/>
        <v>33114.46956521739</v>
      </c>
      <c r="N11" s="256">
        <v>33000</v>
      </c>
      <c r="O11" s="256">
        <f t="shared" si="4"/>
        <v>12922</v>
      </c>
      <c r="P11" s="256">
        <f t="shared" si="5"/>
        <v>21645.165217391303</v>
      </c>
      <c r="Q11" s="256">
        <f t="shared" si="6"/>
        <v>34567.165217391303</v>
      </c>
      <c r="R11" s="256">
        <v>34500</v>
      </c>
      <c r="S11" s="257">
        <f t="shared" si="7"/>
        <v>12922</v>
      </c>
      <c r="T11" s="257">
        <f t="shared" si="8"/>
        <v>26148.521739130432</v>
      </c>
      <c r="U11" s="257">
        <f t="shared" si="9"/>
        <v>39070.521739130432</v>
      </c>
      <c r="V11" s="225">
        <v>37500</v>
      </c>
      <c r="W11" s="225">
        <f t="shared" ref="W11:W14" si="14">+ROUNDDOWN(X11,-2)</f>
        <v>37600</v>
      </c>
      <c r="X11" s="225">
        <f t="shared" ref="X11:X15" si="15">Y11+Z11</f>
        <v>37631</v>
      </c>
      <c r="Y11" s="228">
        <v>24709</v>
      </c>
      <c r="Z11" s="225">
        <v>12922</v>
      </c>
      <c r="AA11" s="225">
        <f t="shared" ref="AA11:AA14" si="16">+ROUNDDOWN(AB11,-2)</f>
        <v>45000</v>
      </c>
      <c r="AB11" s="225">
        <f t="shared" ref="AB11:AB14" si="17">AC11+AD11</f>
        <v>45043.7</v>
      </c>
      <c r="AC11" s="225">
        <f t="shared" ref="AC11:AC14" si="18">Y11*2340/1800</f>
        <v>32121.7</v>
      </c>
      <c r="AD11" s="225">
        <v>12922</v>
      </c>
      <c r="AE11" s="225"/>
      <c r="AF11" s="225"/>
      <c r="AG11" s="249"/>
      <c r="AH11" s="272">
        <v>45000</v>
      </c>
      <c r="AI11" s="228">
        <f t="shared" si="10"/>
        <v>12922</v>
      </c>
      <c r="AJ11" s="274">
        <f t="shared" si="11"/>
        <v>33993.078260869566</v>
      </c>
      <c r="AK11" s="274">
        <f t="shared" si="12"/>
        <v>46915.078260869566</v>
      </c>
      <c r="AL11" s="275" t="e">
        <f>#REF!</f>
        <v>#REF!</v>
      </c>
      <c r="AM11" s="275" t="e">
        <f t="shared" si="13"/>
        <v>#REF!</v>
      </c>
    </row>
    <row r="12" spans="1:39" x14ac:dyDescent="0.25">
      <c r="A12" s="223">
        <v>3</v>
      </c>
      <c r="B12" s="217"/>
      <c r="C12" s="217"/>
      <c r="D12" s="217"/>
      <c r="E12" s="217"/>
      <c r="F12" s="224" t="s">
        <v>43</v>
      </c>
      <c r="G12" s="256">
        <v>11485</v>
      </c>
      <c r="H12" s="256">
        <v>14741</v>
      </c>
      <c r="I12" s="256">
        <f t="shared" si="0"/>
        <v>26226</v>
      </c>
      <c r="J12" s="256">
        <v>26200</v>
      </c>
      <c r="K12" s="256">
        <f t="shared" si="1"/>
        <v>11485</v>
      </c>
      <c r="L12" s="256">
        <f t="shared" si="2"/>
        <v>17817.382608695651</v>
      </c>
      <c r="M12" s="256">
        <f t="shared" si="3"/>
        <v>29302.382608695651</v>
      </c>
      <c r="N12" s="256">
        <v>29000</v>
      </c>
      <c r="O12" s="256">
        <f t="shared" si="4"/>
        <v>11485</v>
      </c>
      <c r="P12" s="256">
        <f t="shared" si="5"/>
        <v>19099.208695652174</v>
      </c>
      <c r="Q12" s="256">
        <f t="shared" si="6"/>
        <v>30584.208695652174</v>
      </c>
      <c r="R12" s="256">
        <v>30500</v>
      </c>
      <c r="S12" s="257">
        <f t="shared" si="7"/>
        <v>11485</v>
      </c>
      <c r="T12" s="257">
        <f t="shared" si="8"/>
        <v>23072.869565217392</v>
      </c>
      <c r="U12" s="257">
        <f t="shared" si="9"/>
        <v>34557.869565217392</v>
      </c>
      <c r="V12" s="225">
        <v>33200</v>
      </c>
      <c r="W12" s="225">
        <f t="shared" si="14"/>
        <v>33200</v>
      </c>
      <c r="X12" s="225">
        <f t="shared" si="15"/>
        <v>33286</v>
      </c>
      <c r="Y12" s="228">
        <v>21801</v>
      </c>
      <c r="Z12" s="225">
        <v>11485</v>
      </c>
      <c r="AA12" s="225">
        <f t="shared" si="16"/>
        <v>39800</v>
      </c>
      <c r="AB12" s="225">
        <f t="shared" si="17"/>
        <v>39826.300000000003</v>
      </c>
      <c r="AC12" s="225">
        <f t="shared" si="18"/>
        <v>28341.3</v>
      </c>
      <c r="AD12" s="225">
        <v>11485</v>
      </c>
      <c r="AE12" s="225"/>
      <c r="AF12" s="225"/>
      <c r="AG12" s="249"/>
      <c r="AH12" s="272">
        <v>39800</v>
      </c>
      <c r="AI12" s="228">
        <f t="shared" si="10"/>
        <v>11485</v>
      </c>
      <c r="AJ12" s="274">
        <f t="shared" si="11"/>
        <v>29994.73043478261</v>
      </c>
      <c r="AK12" s="274">
        <f t="shared" si="12"/>
        <v>41479.730434782614</v>
      </c>
      <c r="AL12" s="275" t="e">
        <f>#REF!</f>
        <v>#REF!</v>
      </c>
      <c r="AM12" s="275" t="e">
        <f t="shared" si="13"/>
        <v>#REF!</v>
      </c>
    </row>
    <row r="13" spans="1:39" x14ac:dyDescent="0.25">
      <c r="A13" s="223">
        <v>4</v>
      </c>
      <c r="B13" s="217"/>
      <c r="C13" s="217"/>
      <c r="D13" s="217"/>
      <c r="E13" s="217"/>
      <c r="F13" s="224" t="s">
        <v>44</v>
      </c>
      <c r="G13" s="256">
        <v>8969</v>
      </c>
      <c r="H13" s="256">
        <v>14324</v>
      </c>
      <c r="I13" s="256">
        <f t="shared" si="0"/>
        <v>23293</v>
      </c>
      <c r="J13" s="256">
        <v>23300</v>
      </c>
      <c r="K13" s="256">
        <f t="shared" si="1"/>
        <v>8969</v>
      </c>
      <c r="L13" s="256">
        <f t="shared" si="2"/>
        <v>17313.35652173913</v>
      </c>
      <c r="M13" s="256">
        <f t="shared" si="3"/>
        <v>26282.35652173913</v>
      </c>
      <c r="N13" s="256">
        <v>26000</v>
      </c>
      <c r="O13" s="256">
        <f t="shared" si="4"/>
        <v>8969</v>
      </c>
      <c r="P13" s="256">
        <f t="shared" si="5"/>
        <v>18558.921739130434</v>
      </c>
      <c r="Q13" s="256">
        <f t="shared" si="6"/>
        <v>27527.921739130434</v>
      </c>
      <c r="R13" s="256">
        <v>27500</v>
      </c>
      <c r="S13" s="257">
        <f t="shared" si="7"/>
        <v>8969</v>
      </c>
      <c r="T13" s="257">
        <f t="shared" si="8"/>
        <v>22420.173913043476</v>
      </c>
      <c r="U13" s="257">
        <f t="shared" si="9"/>
        <v>31389.173913043476</v>
      </c>
      <c r="V13" s="225">
        <v>30100</v>
      </c>
      <c r="W13" s="225">
        <f t="shared" si="14"/>
        <v>30100</v>
      </c>
      <c r="X13" s="225">
        <f t="shared" si="15"/>
        <v>30154</v>
      </c>
      <c r="Y13" s="228">
        <v>21185</v>
      </c>
      <c r="Z13" s="225">
        <v>8969</v>
      </c>
      <c r="AA13" s="225">
        <f t="shared" si="16"/>
        <v>36500</v>
      </c>
      <c r="AB13" s="225">
        <f t="shared" si="17"/>
        <v>36509.5</v>
      </c>
      <c r="AC13" s="225">
        <f t="shared" si="18"/>
        <v>27540.5</v>
      </c>
      <c r="AD13" s="225">
        <v>8969</v>
      </c>
      <c r="AE13" s="225"/>
      <c r="AF13" s="225"/>
      <c r="AG13" s="249"/>
      <c r="AH13" s="272">
        <v>36500</v>
      </c>
      <c r="AI13" s="228">
        <f t="shared" si="10"/>
        <v>8969</v>
      </c>
      <c r="AJ13" s="274">
        <f t="shared" si="11"/>
        <v>29146.226086956522</v>
      </c>
      <c r="AK13" s="274">
        <f t="shared" si="12"/>
        <v>38115.226086956522</v>
      </c>
      <c r="AL13" s="275" t="e">
        <f>#REF!</f>
        <v>#REF!</v>
      </c>
      <c r="AM13" s="275" t="e">
        <f t="shared" si="13"/>
        <v>#REF!</v>
      </c>
    </row>
    <row r="14" spans="1:39" ht="25.5" customHeight="1" x14ac:dyDescent="0.25">
      <c r="A14" s="223">
        <v>5</v>
      </c>
      <c r="B14" s="217"/>
      <c r="C14" s="217"/>
      <c r="D14" s="217"/>
      <c r="E14" s="217"/>
      <c r="F14" s="224" t="s">
        <v>45</v>
      </c>
      <c r="G14" s="256">
        <v>7806</v>
      </c>
      <c r="H14" s="256">
        <v>20472</v>
      </c>
      <c r="I14" s="257">
        <f t="shared" si="0"/>
        <v>28278</v>
      </c>
      <c r="J14" s="256">
        <v>23300</v>
      </c>
      <c r="K14" s="256">
        <f t="shared" si="1"/>
        <v>7806</v>
      </c>
      <c r="L14" s="256">
        <f t="shared" si="2"/>
        <v>24744.417391304349</v>
      </c>
      <c r="M14" s="257">
        <f t="shared" si="3"/>
        <v>32550.417391304349</v>
      </c>
      <c r="N14" s="256">
        <v>26000</v>
      </c>
      <c r="O14" s="256">
        <f t="shared" si="4"/>
        <v>7806</v>
      </c>
      <c r="P14" s="257">
        <f t="shared" si="5"/>
        <v>26524.591304347825</v>
      </c>
      <c r="Q14" s="256">
        <f t="shared" si="6"/>
        <v>34330.591304347821</v>
      </c>
      <c r="R14" s="256">
        <v>27500</v>
      </c>
      <c r="S14" s="257">
        <f>S13</f>
        <v>8969</v>
      </c>
      <c r="T14" s="257">
        <f>T13</f>
        <v>22420.173913043476</v>
      </c>
      <c r="U14" s="257">
        <f t="shared" si="9"/>
        <v>31389.173913043476</v>
      </c>
      <c r="V14" s="225">
        <v>30100</v>
      </c>
      <c r="W14" s="225">
        <f t="shared" si="14"/>
        <v>30100</v>
      </c>
      <c r="X14" s="225">
        <f t="shared" si="15"/>
        <v>30154</v>
      </c>
      <c r="Y14" s="228">
        <v>21185</v>
      </c>
      <c r="Z14" s="225">
        <v>8969</v>
      </c>
      <c r="AA14" s="225">
        <f t="shared" si="16"/>
        <v>36500</v>
      </c>
      <c r="AB14" s="225">
        <f t="shared" si="17"/>
        <v>36509.5</v>
      </c>
      <c r="AC14" s="225">
        <f t="shared" si="18"/>
        <v>27540.5</v>
      </c>
      <c r="AD14" s="225">
        <v>8969</v>
      </c>
      <c r="AE14" s="225"/>
      <c r="AF14" s="225"/>
      <c r="AG14" s="249"/>
      <c r="AH14" s="272">
        <v>36500</v>
      </c>
      <c r="AI14" s="228">
        <f t="shared" si="10"/>
        <v>7806</v>
      </c>
      <c r="AJ14" s="274">
        <f t="shared" si="11"/>
        <v>41656.069565217389</v>
      </c>
      <c r="AK14" s="274">
        <f t="shared" si="12"/>
        <v>49462.069565217389</v>
      </c>
      <c r="AL14" s="275" t="e">
        <f>AL13</f>
        <v>#REF!</v>
      </c>
      <c r="AM14" s="275" t="e">
        <f t="shared" si="13"/>
        <v>#REF!</v>
      </c>
    </row>
    <row r="15" spans="1:39" ht="113.25" customHeight="1" x14ac:dyDescent="0.25">
      <c r="A15" s="238">
        <v>6</v>
      </c>
      <c r="B15" s="255"/>
      <c r="C15" s="255"/>
      <c r="D15" s="255"/>
      <c r="E15" s="255"/>
      <c r="F15" s="269" t="s">
        <v>65</v>
      </c>
      <c r="G15" s="258"/>
      <c r="H15" s="258"/>
      <c r="I15" s="258">
        <f t="shared" si="0"/>
        <v>0</v>
      </c>
      <c r="J15" s="258">
        <v>200000</v>
      </c>
      <c r="K15" s="258"/>
      <c r="L15" s="258"/>
      <c r="M15" s="258">
        <f t="shared" si="3"/>
        <v>0</v>
      </c>
      <c r="N15" s="258"/>
      <c r="O15" s="258"/>
      <c r="P15" s="258"/>
      <c r="Q15" s="258"/>
      <c r="R15" s="258"/>
      <c r="S15" s="258"/>
      <c r="T15" s="258"/>
      <c r="U15" s="261"/>
      <c r="V15" s="270">
        <v>200000</v>
      </c>
      <c r="W15" s="271"/>
      <c r="X15" s="271">
        <f t="shared" si="15"/>
        <v>0</v>
      </c>
      <c r="Y15" s="271"/>
      <c r="Z15" s="271"/>
      <c r="AA15" s="271">
        <v>200000</v>
      </c>
      <c r="AB15" s="271"/>
      <c r="AC15" s="271"/>
      <c r="AD15" s="271"/>
      <c r="AE15" s="271" t="str">
        <f>'Công khám BM'!C5</f>
        <v>200.000</v>
      </c>
      <c r="AF15" s="271">
        <f>'Công khám CR'!C11</f>
        <v>200000</v>
      </c>
      <c r="AG15" s="253"/>
      <c r="AH15" s="230"/>
    </row>
    <row r="16" spans="1:39" s="215" customFormat="1" ht="22.5" customHeight="1" x14ac:dyDescent="0.25">
      <c r="A16" s="213" t="s">
        <v>15</v>
      </c>
      <c r="B16" s="214"/>
      <c r="C16" s="213"/>
      <c r="D16" s="213"/>
      <c r="E16" s="213"/>
      <c r="F16" s="214" t="s">
        <v>129</v>
      </c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62"/>
      <c r="AG16" s="238"/>
    </row>
    <row r="17" spans="1:33" ht="63" x14ac:dyDescent="0.25">
      <c r="A17" s="226">
        <v>7</v>
      </c>
      <c r="B17" s="226"/>
      <c r="C17" s="226"/>
      <c r="D17" s="226"/>
      <c r="E17" s="226"/>
      <c r="F17" s="227" t="s">
        <v>130</v>
      </c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63"/>
      <c r="V17" s="232">
        <v>160000</v>
      </c>
      <c r="W17" s="232"/>
      <c r="X17" s="232"/>
      <c r="Y17" s="232"/>
      <c r="Z17" s="232"/>
      <c r="AA17" s="232"/>
      <c r="AB17" s="232"/>
      <c r="AC17" s="232"/>
      <c r="AD17" s="232"/>
      <c r="AE17" s="232" t="str">
        <f>'Công khám BM'!C8</f>
        <v>160.000</v>
      </c>
      <c r="AF17" s="232">
        <f>'Công khám CR'!C13</f>
        <v>160000</v>
      </c>
      <c r="AG17" s="226"/>
    </row>
    <row r="18" spans="1:33" ht="63" x14ac:dyDescent="0.25">
      <c r="A18" s="226">
        <v>8</v>
      </c>
      <c r="B18" s="226"/>
      <c r="C18" s="226"/>
      <c r="D18" s="226"/>
      <c r="E18" s="226"/>
      <c r="F18" s="227" t="s">
        <v>131</v>
      </c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63"/>
      <c r="V18" s="232">
        <v>160000</v>
      </c>
      <c r="W18" s="232"/>
      <c r="X18" s="232"/>
      <c r="Y18" s="232"/>
      <c r="Z18" s="232"/>
      <c r="AA18" s="232"/>
      <c r="AB18" s="232"/>
      <c r="AC18" s="232"/>
      <c r="AD18" s="232"/>
      <c r="AE18" s="232" t="str">
        <f>'Công khám BM'!C9</f>
        <v>160.000</v>
      </c>
      <c r="AF18" s="232">
        <f>'Công khám CR'!C14</f>
        <v>160000</v>
      </c>
      <c r="AG18" s="226"/>
    </row>
    <row r="19" spans="1:33" ht="63" x14ac:dyDescent="0.25">
      <c r="A19" s="226">
        <v>9</v>
      </c>
      <c r="B19" s="226"/>
      <c r="C19" s="226"/>
      <c r="D19" s="226"/>
      <c r="E19" s="226"/>
      <c r="F19" s="242" t="s">
        <v>132</v>
      </c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64"/>
      <c r="V19" s="232">
        <v>450000</v>
      </c>
      <c r="W19" s="232"/>
      <c r="X19" s="232"/>
      <c r="Y19" s="232"/>
      <c r="Z19" s="232"/>
      <c r="AA19" s="232"/>
      <c r="AB19" s="232"/>
      <c r="AC19" s="232"/>
      <c r="AD19" s="232"/>
      <c r="AE19" s="232" t="str">
        <f>'Công khám BM'!C10</f>
        <v>450.000</v>
      </c>
      <c r="AF19" s="232">
        <f>'Công khám CR'!C15</f>
        <v>450000</v>
      </c>
      <c r="AG19" s="226"/>
    </row>
    <row r="21" spans="1:33" x14ac:dyDescent="0.25"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65"/>
    </row>
  </sheetData>
  <mergeCells count="12">
    <mergeCell ref="A2:AG2"/>
    <mergeCell ref="A3:AG3"/>
    <mergeCell ref="A4:AG4"/>
    <mergeCell ref="AD5:AG5"/>
    <mergeCell ref="AI6:AM6"/>
    <mergeCell ref="S6:Z6"/>
    <mergeCell ref="AA6:AD6"/>
    <mergeCell ref="A6:A7"/>
    <mergeCell ref="F6:F7"/>
    <mergeCell ref="G6:J6"/>
    <mergeCell ref="K6:N6"/>
    <mergeCell ref="O6:R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8"/>
  <sheetViews>
    <sheetView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C28" sqref="C28"/>
    </sheetView>
  </sheetViews>
  <sheetFormatPr defaultColWidth="9" defaultRowHeight="15" x14ac:dyDescent="0.25"/>
  <cols>
    <col min="1" max="1" width="8.25" style="11" customWidth="1"/>
    <col min="2" max="2" width="22.125" style="11" customWidth="1"/>
    <col min="3" max="3" width="20.125" style="11" customWidth="1"/>
    <col min="4" max="4" width="17.75" style="18" customWidth="1"/>
    <col min="5" max="5" width="17.25" style="11" customWidth="1"/>
    <col min="6" max="16384" width="9" style="11"/>
  </cols>
  <sheetData>
    <row r="2" spans="1:5" x14ac:dyDescent="0.25">
      <c r="A2" s="17" t="s">
        <v>62</v>
      </c>
      <c r="B2" s="17"/>
    </row>
    <row r="3" spans="1:5" x14ac:dyDescent="0.25">
      <c r="A3" s="303" t="s">
        <v>61</v>
      </c>
      <c r="B3" s="303"/>
      <c r="C3" s="303"/>
      <c r="D3" s="303"/>
      <c r="E3" s="303"/>
    </row>
    <row r="4" spans="1:5" x14ac:dyDescent="0.25">
      <c r="A4" s="305"/>
      <c r="B4" s="305"/>
    </row>
    <row r="6" spans="1:5" ht="15" customHeight="1" x14ac:dyDescent="0.25">
      <c r="A6" s="304" t="s">
        <v>33</v>
      </c>
      <c r="B6" s="304" t="s">
        <v>59</v>
      </c>
      <c r="C6" s="304" t="s">
        <v>63</v>
      </c>
      <c r="D6" s="306" t="s">
        <v>64</v>
      </c>
      <c r="E6" s="304" t="s">
        <v>31</v>
      </c>
    </row>
    <row r="7" spans="1:5" x14ac:dyDescent="0.25">
      <c r="A7" s="304"/>
      <c r="B7" s="304"/>
      <c r="C7" s="304"/>
      <c r="D7" s="306"/>
      <c r="E7" s="304"/>
    </row>
    <row r="8" spans="1:5" ht="29.25" customHeight="1" x14ac:dyDescent="0.25">
      <c r="A8" s="304"/>
      <c r="B8" s="304"/>
      <c r="C8" s="304"/>
      <c r="D8" s="306"/>
      <c r="E8" s="304"/>
    </row>
    <row r="9" spans="1:5" s="13" customFormat="1" ht="14.25" x14ac:dyDescent="0.2">
      <c r="A9" s="12" t="s">
        <v>10</v>
      </c>
      <c r="B9" s="12" t="s">
        <v>40</v>
      </c>
      <c r="C9" s="15"/>
      <c r="D9" s="19"/>
      <c r="E9" s="304" t="s">
        <v>60</v>
      </c>
    </row>
    <row r="10" spans="1:5" x14ac:dyDescent="0.25">
      <c r="A10" s="14">
        <v>1</v>
      </c>
      <c r="B10" s="14"/>
      <c r="C10" s="16"/>
      <c r="D10" s="20"/>
      <c r="E10" s="304"/>
    </row>
    <row r="11" spans="1:5" x14ac:dyDescent="0.25">
      <c r="A11" s="14">
        <v>2</v>
      </c>
      <c r="B11" s="14"/>
      <c r="C11" s="16"/>
      <c r="D11" s="20"/>
      <c r="E11" s="304"/>
    </row>
    <row r="12" spans="1:5" x14ac:dyDescent="0.25">
      <c r="A12" s="14">
        <v>3</v>
      </c>
      <c r="B12" s="14"/>
      <c r="C12" s="16"/>
      <c r="D12" s="20"/>
      <c r="E12" s="304"/>
    </row>
    <row r="13" spans="1:5" x14ac:dyDescent="0.25">
      <c r="A13" s="14">
        <v>4</v>
      </c>
      <c r="B13" s="14"/>
      <c r="C13" s="16"/>
      <c r="D13" s="20"/>
      <c r="E13" s="304"/>
    </row>
    <row r="14" spans="1:5" x14ac:dyDescent="0.25">
      <c r="A14" s="14">
        <v>5</v>
      </c>
      <c r="B14" s="14"/>
      <c r="C14" s="16"/>
      <c r="D14" s="20"/>
      <c r="E14" s="304"/>
    </row>
    <row r="15" spans="1:5" x14ac:dyDescent="0.25">
      <c r="A15" s="14">
        <v>6</v>
      </c>
      <c r="B15" s="14"/>
      <c r="C15" s="16"/>
      <c r="D15" s="20"/>
      <c r="E15" s="304"/>
    </row>
    <row r="16" spans="1:5" x14ac:dyDescent="0.25">
      <c r="A16" s="14">
        <v>7</v>
      </c>
      <c r="B16" s="14"/>
      <c r="C16" s="16"/>
      <c r="D16" s="20"/>
      <c r="E16" s="304"/>
    </row>
    <row r="17" spans="1:5" x14ac:dyDescent="0.25">
      <c r="A17" s="14">
        <v>8</v>
      </c>
      <c r="B17" s="14"/>
      <c r="C17" s="16"/>
      <c r="D17" s="20"/>
      <c r="E17" s="304"/>
    </row>
    <row r="18" spans="1:5" x14ac:dyDescent="0.25">
      <c r="A18" s="14">
        <v>9</v>
      </c>
      <c r="B18" s="14"/>
      <c r="C18" s="16"/>
      <c r="D18" s="20"/>
      <c r="E18" s="304"/>
    </row>
    <row r="19" spans="1:5" x14ac:dyDescent="0.25">
      <c r="A19" s="14">
        <v>10</v>
      </c>
      <c r="B19" s="14"/>
      <c r="C19" s="16"/>
      <c r="D19" s="20"/>
      <c r="E19" s="304"/>
    </row>
    <row r="20" spans="1:5" s="13" customFormat="1" ht="14.25" x14ac:dyDescent="0.2">
      <c r="A20" s="12" t="s">
        <v>15</v>
      </c>
      <c r="B20" s="12" t="s">
        <v>48</v>
      </c>
      <c r="C20" s="15"/>
      <c r="D20" s="19"/>
      <c r="E20" s="304"/>
    </row>
    <row r="21" spans="1:5" s="13" customFormat="1" ht="14.25" x14ac:dyDescent="0.2">
      <c r="A21" s="12" t="s">
        <v>20</v>
      </c>
      <c r="B21" s="12" t="s">
        <v>49</v>
      </c>
      <c r="C21" s="15"/>
      <c r="D21" s="19"/>
      <c r="E21" s="304"/>
    </row>
    <row r="22" spans="1:5" x14ac:dyDescent="0.25">
      <c r="A22" s="14">
        <v>1</v>
      </c>
      <c r="B22" s="14"/>
      <c r="C22" s="16"/>
      <c r="D22" s="20"/>
      <c r="E22" s="304"/>
    </row>
    <row r="23" spans="1:5" x14ac:dyDescent="0.25">
      <c r="A23" s="14">
        <v>2</v>
      </c>
      <c r="B23" s="14"/>
      <c r="C23" s="16"/>
      <c r="D23" s="20"/>
      <c r="E23" s="304"/>
    </row>
    <row r="24" spans="1:5" x14ac:dyDescent="0.25">
      <c r="A24" s="14"/>
      <c r="B24" s="14"/>
      <c r="C24" s="16"/>
      <c r="D24" s="20"/>
      <c r="E24" s="304"/>
    </row>
    <row r="25" spans="1:5" x14ac:dyDescent="0.25">
      <c r="A25" s="14"/>
      <c r="B25" s="14"/>
      <c r="C25" s="16"/>
      <c r="D25" s="20"/>
      <c r="E25" s="304"/>
    </row>
    <row r="26" spans="1:5" x14ac:dyDescent="0.25">
      <c r="A26" s="14"/>
      <c r="B26" s="14"/>
      <c r="C26" s="16"/>
      <c r="D26" s="20"/>
      <c r="E26" s="304"/>
    </row>
    <row r="27" spans="1:5" x14ac:dyDescent="0.25">
      <c r="A27" s="14"/>
      <c r="B27" s="14"/>
      <c r="C27" s="16"/>
      <c r="D27" s="20"/>
      <c r="E27" s="16"/>
    </row>
    <row r="28" spans="1:5" x14ac:dyDescent="0.25">
      <c r="A28" s="14"/>
      <c r="B28" s="14"/>
      <c r="C28" s="16"/>
      <c r="D28" s="20"/>
      <c r="E28" s="16"/>
    </row>
    <row r="29" spans="1:5" x14ac:dyDescent="0.25">
      <c r="A29" s="14"/>
      <c r="B29" s="14"/>
      <c r="C29" s="16"/>
      <c r="D29" s="20"/>
      <c r="E29" s="16"/>
    </row>
    <row r="30" spans="1:5" x14ac:dyDescent="0.25">
      <c r="A30" s="14"/>
      <c r="B30" s="14"/>
      <c r="C30" s="16"/>
      <c r="D30" s="20"/>
      <c r="E30" s="16"/>
    </row>
    <row r="31" spans="1:5" x14ac:dyDescent="0.25">
      <c r="A31" s="14"/>
      <c r="B31" s="14"/>
      <c r="C31" s="16"/>
      <c r="D31" s="20"/>
      <c r="E31" s="16"/>
    </row>
    <row r="32" spans="1:5" x14ac:dyDescent="0.25">
      <c r="A32" s="14"/>
      <c r="B32" s="14"/>
      <c r="C32" s="16"/>
      <c r="D32" s="20"/>
      <c r="E32" s="16"/>
    </row>
    <row r="33" spans="1:5" x14ac:dyDescent="0.25">
      <c r="A33" s="14"/>
      <c r="B33" s="14"/>
      <c r="C33" s="16"/>
      <c r="D33" s="20"/>
      <c r="E33" s="16"/>
    </row>
    <row r="34" spans="1:5" x14ac:dyDescent="0.25">
      <c r="A34" s="14"/>
      <c r="B34" s="14"/>
      <c r="C34" s="16"/>
      <c r="D34" s="20"/>
      <c r="E34" s="16"/>
    </row>
    <row r="35" spans="1:5" x14ac:dyDescent="0.25">
      <c r="A35" s="14"/>
      <c r="B35" s="14"/>
      <c r="C35" s="16"/>
      <c r="D35" s="20"/>
      <c r="E35" s="16"/>
    </row>
    <row r="36" spans="1:5" x14ac:dyDescent="0.25">
      <c r="A36" s="14"/>
      <c r="B36" s="14"/>
      <c r="C36" s="16"/>
      <c r="D36" s="20"/>
      <c r="E36" s="16"/>
    </row>
    <row r="37" spans="1:5" x14ac:dyDescent="0.25">
      <c r="A37" s="14"/>
      <c r="B37" s="14"/>
      <c r="C37" s="16"/>
      <c r="D37" s="20"/>
      <c r="E37" s="16"/>
    </row>
    <row r="38" spans="1:5" x14ac:dyDescent="0.25">
      <c r="A38" s="14"/>
      <c r="B38" s="14"/>
      <c r="C38" s="16"/>
      <c r="D38" s="20"/>
      <c r="E38" s="16"/>
    </row>
  </sheetData>
  <mergeCells count="8">
    <mergeCell ref="A3:E3"/>
    <mergeCell ref="C6:C8"/>
    <mergeCell ref="E6:E8"/>
    <mergeCell ref="E9:E26"/>
    <mergeCell ref="A4:B4"/>
    <mergeCell ref="A6:A8"/>
    <mergeCell ref="B6:B8"/>
    <mergeCell ref="D6:D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1"/>
  <sheetViews>
    <sheetView workbookViewId="0">
      <selection activeCell="B12" sqref="B12"/>
    </sheetView>
  </sheetViews>
  <sheetFormatPr defaultRowHeight="14.25" x14ac:dyDescent="0.2"/>
  <cols>
    <col min="2" max="2" width="24.25" customWidth="1"/>
  </cols>
  <sheetData>
    <row r="2" spans="1:8" ht="44.25" customHeight="1" x14ac:dyDescent="0.3">
      <c r="A2" s="307" t="s">
        <v>30</v>
      </c>
      <c r="B2" s="307"/>
      <c r="C2" s="307"/>
      <c r="D2" s="307"/>
      <c r="E2" s="307"/>
      <c r="F2" s="307"/>
      <c r="G2" s="307"/>
    </row>
    <row r="4" spans="1:8" ht="15.75" x14ac:dyDescent="0.25">
      <c r="F4" s="310" t="s">
        <v>54</v>
      </c>
      <c r="G4" s="310"/>
      <c r="H4" s="310"/>
    </row>
    <row r="5" spans="1:8" ht="31.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9" t="s">
        <v>31</v>
      </c>
    </row>
    <row r="6" spans="1:8" ht="15.75" x14ac:dyDescent="0.2">
      <c r="A6" s="2" t="s">
        <v>7</v>
      </c>
      <c r="B6" s="2" t="s">
        <v>8</v>
      </c>
      <c r="C6" s="2">
        <v>1</v>
      </c>
      <c r="D6" s="2">
        <v>2</v>
      </c>
      <c r="E6" s="2">
        <v>3</v>
      </c>
      <c r="F6" s="2" t="s">
        <v>9</v>
      </c>
      <c r="G6" s="2">
        <v>5</v>
      </c>
      <c r="H6" s="9"/>
    </row>
    <row r="7" spans="1:8" ht="15.75" x14ac:dyDescent="0.2">
      <c r="A7" s="1" t="s">
        <v>10</v>
      </c>
      <c r="B7" s="3" t="s">
        <v>11</v>
      </c>
      <c r="C7" s="2"/>
      <c r="D7" s="2"/>
      <c r="E7" s="2"/>
      <c r="F7" s="4"/>
      <c r="G7" s="4"/>
      <c r="H7" s="9"/>
    </row>
    <row r="8" spans="1:8" ht="63" x14ac:dyDescent="0.2">
      <c r="A8" s="2">
        <v>1</v>
      </c>
      <c r="B8" s="4" t="s">
        <v>12</v>
      </c>
      <c r="C8" s="2"/>
      <c r="D8" s="2"/>
      <c r="E8" s="2"/>
      <c r="F8" s="2"/>
      <c r="G8" s="2"/>
      <c r="H8" s="9"/>
    </row>
    <row r="9" spans="1:8" ht="15.75" x14ac:dyDescent="0.2">
      <c r="A9" s="2">
        <v>2</v>
      </c>
      <c r="B9" s="4" t="s">
        <v>13</v>
      </c>
      <c r="C9" s="2"/>
      <c r="D9" s="2"/>
      <c r="E9" s="2"/>
      <c r="F9" s="2"/>
      <c r="G9" s="2"/>
      <c r="H9" s="9"/>
    </row>
    <row r="10" spans="1:8" ht="78.75" x14ac:dyDescent="0.2">
      <c r="A10" s="2">
        <v>3</v>
      </c>
      <c r="B10" s="4" t="s">
        <v>14</v>
      </c>
      <c r="C10" s="2"/>
      <c r="D10" s="2"/>
      <c r="E10" s="2"/>
      <c r="F10" s="2"/>
      <c r="G10" s="2"/>
      <c r="H10" s="9"/>
    </row>
    <row r="11" spans="1:8" ht="15.75" x14ac:dyDescent="0.2">
      <c r="A11" s="1" t="s">
        <v>15</v>
      </c>
      <c r="B11" s="3" t="s">
        <v>16</v>
      </c>
      <c r="C11" s="2"/>
      <c r="D11" s="2"/>
      <c r="E11" s="2"/>
      <c r="F11" s="2"/>
      <c r="G11" s="2"/>
      <c r="H11" s="9"/>
    </row>
    <row r="12" spans="1:8" ht="63" x14ac:dyDescent="0.2">
      <c r="A12" s="2">
        <v>1</v>
      </c>
      <c r="B12" s="4" t="s">
        <v>17</v>
      </c>
      <c r="C12" s="2"/>
      <c r="D12" s="2"/>
      <c r="E12" s="2"/>
      <c r="F12" s="2"/>
      <c r="G12" s="2"/>
      <c r="H12" s="9"/>
    </row>
    <row r="13" spans="1:8" ht="78.75" x14ac:dyDescent="0.2">
      <c r="A13" s="2">
        <v>2</v>
      </c>
      <c r="B13" s="4" t="s">
        <v>18</v>
      </c>
      <c r="C13" s="2"/>
      <c r="D13" s="2"/>
      <c r="E13" s="2"/>
      <c r="F13" s="2"/>
      <c r="G13" s="2"/>
      <c r="H13" s="9"/>
    </row>
    <row r="14" spans="1:8" ht="31.5" x14ac:dyDescent="0.2">
      <c r="A14" s="2">
        <v>3</v>
      </c>
      <c r="B14" s="4" t="s">
        <v>19</v>
      </c>
      <c r="C14" s="2"/>
      <c r="D14" s="2"/>
      <c r="E14" s="2"/>
      <c r="F14" s="2"/>
      <c r="G14" s="2"/>
      <c r="H14" s="9"/>
    </row>
    <row r="15" spans="1:8" ht="15.75" x14ac:dyDescent="0.2">
      <c r="A15" s="5" t="s">
        <v>20</v>
      </c>
      <c r="B15" s="6" t="s">
        <v>21</v>
      </c>
      <c r="C15" s="7"/>
      <c r="D15" s="7"/>
      <c r="E15" s="7"/>
      <c r="F15" s="8"/>
      <c r="G15" s="7"/>
      <c r="H15" s="308" t="s">
        <v>32</v>
      </c>
    </row>
    <row r="16" spans="1:8" ht="15.75" x14ac:dyDescent="0.2">
      <c r="A16" s="5" t="s">
        <v>22</v>
      </c>
      <c r="B16" s="6" t="s">
        <v>23</v>
      </c>
      <c r="C16" s="7"/>
      <c r="D16" s="7"/>
      <c r="E16" s="7"/>
      <c r="F16" s="8"/>
      <c r="G16" s="8"/>
      <c r="H16" s="309"/>
    </row>
    <row r="17" spans="1:8" ht="15.75" x14ac:dyDescent="0.2">
      <c r="A17" s="7">
        <v>1</v>
      </c>
      <c r="B17" s="8" t="s">
        <v>24</v>
      </c>
      <c r="C17" s="7"/>
      <c r="D17" s="7"/>
      <c r="E17" s="7"/>
      <c r="F17" s="7"/>
      <c r="G17" s="7"/>
      <c r="H17" s="309"/>
    </row>
    <row r="18" spans="1:8" ht="15.75" x14ac:dyDescent="0.2">
      <c r="A18" s="7">
        <v>2</v>
      </c>
      <c r="B18" s="8" t="s">
        <v>25</v>
      </c>
      <c r="C18" s="7"/>
      <c r="D18" s="7"/>
      <c r="E18" s="7"/>
      <c r="F18" s="7"/>
      <c r="G18" s="7"/>
      <c r="H18" s="309"/>
    </row>
    <row r="19" spans="1:8" ht="15.75" x14ac:dyDescent="0.2">
      <c r="A19" s="7">
        <v>3</v>
      </c>
      <c r="B19" s="8" t="s">
        <v>26</v>
      </c>
      <c r="C19" s="7"/>
      <c r="D19" s="7"/>
      <c r="E19" s="7"/>
      <c r="F19" s="7"/>
      <c r="G19" s="7"/>
      <c r="H19" s="309"/>
    </row>
    <row r="20" spans="1:8" ht="47.25" x14ac:dyDescent="0.2">
      <c r="A20" s="5" t="s">
        <v>27</v>
      </c>
      <c r="B20" s="6" t="s">
        <v>28</v>
      </c>
      <c r="C20" s="7"/>
      <c r="D20" s="7"/>
      <c r="E20" s="7"/>
      <c r="F20" s="7"/>
      <c r="G20" s="7"/>
      <c r="H20" s="309"/>
    </row>
    <row r="21" spans="1:8" ht="15.75" x14ac:dyDescent="0.2">
      <c r="A21" s="2"/>
      <c r="B21" s="1" t="s">
        <v>29</v>
      </c>
      <c r="C21" s="2"/>
      <c r="D21" s="2"/>
      <c r="E21" s="2"/>
      <c r="F21" s="4"/>
      <c r="G21" s="4"/>
      <c r="H21" s="10"/>
    </row>
  </sheetData>
  <mergeCells count="3">
    <mergeCell ref="A2:G2"/>
    <mergeCell ref="H15:H20"/>
    <mergeCell ref="F4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2"/>
  <sheetViews>
    <sheetView tabSelected="1" view="pageBreakPreview" zoomScale="85" zoomScaleNormal="70" zoomScaleSheetLayoutView="85" workbookViewId="0">
      <selection activeCell="AE25" sqref="AE25"/>
    </sheetView>
  </sheetViews>
  <sheetFormatPr defaultColWidth="9" defaultRowHeight="15.75" x14ac:dyDescent="0.25"/>
  <cols>
    <col min="1" max="1" width="4.25" style="276" customWidth="1"/>
    <col min="2" max="2" width="5" style="247" hidden="1" customWidth="1"/>
    <col min="3" max="3" width="7.25" style="247" hidden="1" customWidth="1"/>
    <col min="4" max="4" width="8.625" style="247" hidden="1" customWidth="1"/>
    <col min="5" max="5" width="6.75" style="247" hidden="1" customWidth="1"/>
    <col min="6" max="6" width="64.75" style="247" customWidth="1"/>
    <col min="7" max="7" width="14.875" style="247" hidden="1" customWidth="1"/>
    <col min="8" max="8" width="10.875" style="285" hidden="1" customWidth="1"/>
    <col min="9" max="9" width="9" style="285" hidden="1" customWidth="1"/>
    <col min="10" max="10" width="12.25" style="285" hidden="1" customWidth="1"/>
    <col min="11" max="11" width="10.25" style="285" hidden="1" customWidth="1"/>
    <col min="12" max="12" width="14.25" style="285" hidden="1" customWidth="1"/>
    <col min="13" max="13" width="12.75" style="285" hidden="1" customWidth="1"/>
    <col min="14" max="14" width="13.375" style="285" hidden="1" customWidth="1"/>
    <col min="15" max="15" width="13" style="285" hidden="1" customWidth="1"/>
    <col min="16" max="16" width="12" style="285" hidden="1" customWidth="1"/>
    <col min="17" max="17" width="15.875" style="285" customWidth="1"/>
    <col min="18" max="18" width="16.25" style="216" hidden="1" customWidth="1"/>
    <col min="19" max="19" width="13.75" style="216" hidden="1" customWidth="1"/>
    <col min="20" max="20" width="12.25" style="216" hidden="1" customWidth="1"/>
    <col min="21" max="21" width="10.75" style="216" hidden="1" customWidth="1"/>
    <col min="22" max="24" width="11.75" style="216" hidden="1" customWidth="1"/>
    <col min="25" max="26" width="13.375" style="216" hidden="1" customWidth="1"/>
    <col min="27" max="27" width="12.75" style="166" customWidth="1"/>
    <col min="28" max="16384" width="9" style="166"/>
  </cols>
  <sheetData>
    <row r="1" spans="1:28" ht="0.75" customHeight="1" x14ac:dyDescent="0.25"/>
    <row r="2" spans="1:28" ht="18.75" x14ac:dyDescent="0.25">
      <c r="A2" s="333" t="s">
        <v>285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</row>
    <row r="3" spans="1:28" ht="60.75" customHeight="1" x14ac:dyDescent="0.3">
      <c r="A3" s="334" t="s">
        <v>291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</row>
    <row r="4" spans="1:28" x14ac:dyDescent="0.25">
      <c r="A4" s="336" t="s">
        <v>54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</row>
    <row r="5" spans="1:28" x14ac:dyDescent="0.25">
      <c r="B5" s="284"/>
      <c r="C5" s="284"/>
      <c r="D5" s="284"/>
      <c r="E5" s="284"/>
      <c r="T5" s="290"/>
      <c r="U5" s="290"/>
      <c r="V5" s="290"/>
      <c r="W5" s="290"/>
      <c r="X5" s="290"/>
      <c r="Y5" s="290"/>
      <c r="Z5" s="290"/>
      <c r="AA5" s="290"/>
    </row>
    <row r="6" spans="1:28" ht="48" customHeight="1" x14ac:dyDescent="0.25">
      <c r="A6" s="291" t="s">
        <v>33</v>
      </c>
      <c r="B6" s="291" t="s">
        <v>55</v>
      </c>
      <c r="C6" s="292" t="s">
        <v>56</v>
      </c>
      <c r="D6" s="292" t="s">
        <v>57</v>
      </c>
      <c r="E6" s="291" t="s">
        <v>58</v>
      </c>
      <c r="F6" s="337" t="s">
        <v>247</v>
      </c>
      <c r="G6" s="291" t="s">
        <v>37</v>
      </c>
      <c r="H6" s="291"/>
      <c r="I6" s="291"/>
      <c r="J6" s="291"/>
      <c r="K6" s="217"/>
      <c r="L6" s="297" t="s">
        <v>36</v>
      </c>
      <c r="M6" s="297"/>
      <c r="N6" s="297"/>
      <c r="O6" s="297"/>
      <c r="P6" s="297"/>
      <c r="Q6" s="318" t="s">
        <v>204</v>
      </c>
      <c r="R6" s="319"/>
      <c r="S6" s="319"/>
      <c r="T6" s="320"/>
      <c r="U6" s="313" t="s">
        <v>283</v>
      </c>
      <c r="V6" s="314"/>
      <c r="W6" s="314"/>
      <c r="X6" s="314"/>
      <c r="Y6" s="314"/>
      <c r="Z6" s="315"/>
      <c r="AA6" s="291" t="s">
        <v>31</v>
      </c>
    </row>
    <row r="7" spans="1:28" ht="1.5" customHeight="1" x14ac:dyDescent="0.25">
      <c r="A7" s="291"/>
      <c r="B7" s="291"/>
      <c r="C7" s="292"/>
      <c r="D7" s="292"/>
      <c r="E7" s="291"/>
      <c r="F7" s="337"/>
      <c r="G7" s="291" t="s">
        <v>46</v>
      </c>
      <c r="H7" s="297" t="s">
        <v>50</v>
      </c>
      <c r="I7" s="297" t="s">
        <v>47</v>
      </c>
      <c r="J7" s="297" t="s">
        <v>39</v>
      </c>
      <c r="K7" s="297" t="s">
        <v>35</v>
      </c>
      <c r="L7" s="297" t="e">
        <f>#REF!</f>
        <v>#REF!</v>
      </c>
      <c r="M7" s="297" t="s">
        <v>53</v>
      </c>
      <c r="N7" s="297" t="s">
        <v>51</v>
      </c>
      <c r="O7" s="297" t="s">
        <v>52</v>
      </c>
      <c r="P7" s="297" t="s">
        <v>266</v>
      </c>
      <c r="Q7" s="321"/>
      <c r="R7" s="322"/>
      <c r="S7" s="322"/>
      <c r="T7" s="323"/>
      <c r="U7" s="297" t="s">
        <v>236</v>
      </c>
      <c r="V7" s="297" t="s">
        <v>235</v>
      </c>
      <c r="W7" s="297" t="s">
        <v>280</v>
      </c>
      <c r="X7" s="297" t="s">
        <v>281</v>
      </c>
      <c r="Y7" s="297" t="s">
        <v>282</v>
      </c>
      <c r="Z7" s="316" t="s">
        <v>284</v>
      </c>
      <c r="AA7" s="291"/>
      <c r="AB7" s="312" t="s">
        <v>128</v>
      </c>
    </row>
    <row r="8" spans="1:28" ht="48.75" hidden="1" customHeight="1" x14ac:dyDescent="0.25">
      <c r="A8" s="291"/>
      <c r="B8" s="291"/>
      <c r="C8" s="292"/>
      <c r="D8" s="292"/>
      <c r="E8" s="291"/>
      <c r="F8" s="337"/>
      <c r="G8" s="291"/>
      <c r="H8" s="297"/>
      <c r="I8" s="297"/>
      <c r="J8" s="297"/>
      <c r="K8" s="297"/>
      <c r="L8" s="297"/>
      <c r="M8" s="297"/>
      <c r="N8" s="297"/>
      <c r="O8" s="297"/>
      <c r="P8" s="297"/>
      <c r="Q8" s="324"/>
      <c r="R8" s="325"/>
      <c r="S8" s="325"/>
      <c r="T8" s="326"/>
      <c r="U8" s="297"/>
      <c r="V8" s="297"/>
      <c r="W8" s="297"/>
      <c r="X8" s="297"/>
      <c r="Y8" s="297"/>
      <c r="Z8" s="317"/>
      <c r="AA8" s="291"/>
      <c r="AB8" s="312"/>
    </row>
    <row r="9" spans="1:28" s="221" customFormat="1" ht="22.15" hidden="1" customHeight="1" x14ac:dyDescent="0.25">
      <c r="A9" s="217"/>
      <c r="B9" s="219"/>
      <c r="C9" s="220"/>
      <c r="D9" s="220"/>
      <c r="E9" s="219"/>
      <c r="F9" s="222" t="s">
        <v>105</v>
      </c>
      <c r="G9" s="217" t="s">
        <v>105</v>
      </c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49"/>
    </row>
    <row r="10" spans="1:28" s="221" customFormat="1" ht="30" hidden="1" customHeight="1" x14ac:dyDescent="0.25">
      <c r="A10" s="217" t="s">
        <v>10</v>
      </c>
      <c r="B10" s="219"/>
      <c r="C10" s="220"/>
      <c r="D10" s="220"/>
      <c r="E10" s="219"/>
      <c r="F10" s="222" t="s">
        <v>232</v>
      </c>
      <c r="G10" s="217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49"/>
    </row>
    <row r="11" spans="1:28" s="221" customFormat="1" ht="33" hidden="1" customHeight="1" x14ac:dyDescent="0.25">
      <c r="A11" s="223">
        <v>1</v>
      </c>
      <c r="B11" s="219"/>
      <c r="C11" s="220"/>
      <c r="D11" s="220"/>
      <c r="E11" s="219"/>
      <c r="F11" s="224" t="s">
        <v>94</v>
      </c>
      <c r="G11" s="224"/>
      <c r="H11" s="225"/>
      <c r="I11" s="225"/>
      <c r="J11" s="225">
        <f>'Giường BHYT'!C8+'Giường BHYT'!D8</f>
        <v>368022</v>
      </c>
      <c r="K11" s="225"/>
      <c r="L11" s="225">
        <f>'Giường TT22 BYT'!C9</f>
        <v>867500</v>
      </c>
      <c r="M11" s="225">
        <f>ROUNDDOWN(N11,-2)</f>
        <v>867500</v>
      </c>
      <c r="N11" s="225">
        <f>O11+P11</f>
        <v>867504</v>
      </c>
      <c r="O11" s="225">
        <f>'Giường BHYT'!E8</f>
        <v>499482</v>
      </c>
      <c r="P11" s="257">
        <f t="shared" ref="P11:P21" si="0">J11</f>
        <v>368022</v>
      </c>
      <c r="Q11" s="225">
        <f>ROUNDDOWN(R11,-2)</f>
        <v>1017300</v>
      </c>
      <c r="R11" s="225">
        <f>S11+T11</f>
        <v>1017348.6</v>
      </c>
      <c r="S11" s="228">
        <f t="shared" ref="S11:S42" si="1">O11*2340/1800</f>
        <v>649326.6</v>
      </c>
      <c r="T11" s="225">
        <f t="shared" ref="T11:T42" si="2">J11</f>
        <v>368022</v>
      </c>
      <c r="U11" s="225" t="s">
        <v>233</v>
      </c>
      <c r="V11" s="225">
        <v>1017300</v>
      </c>
      <c r="W11" s="225"/>
      <c r="X11" s="225"/>
      <c r="Y11" s="225"/>
      <c r="Z11" s="225"/>
      <c r="AA11" s="249"/>
    </row>
    <row r="12" spans="1:28" s="221" customFormat="1" ht="27.6" hidden="1" customHeight="1" x14ac:dyDescent="0.25">
      <c r="A12" s="223">
        <v>2</v>
      </c>
      <c r="B12" s="219"/>
      <c r="C12" s="220"/>
      <c r="D12" s="220"/>
      <c r="E12" s="219"/>
      <c r="F12" s="224" t="s">
        <v>71</v>
      </c>
      <c r="G12" s="223"/>
      <c r="H12" s="225"/>
      <c r="I12" s="225"/>
      <c r="J12" s="225">
        <f>'Giường BHYT'!C9+'Giường BHYT'!D9</f>
        <v>209854</v>
      </c>
      <c r="K12" s="225"/>
      <c r="L12" s="225">
        <f>'Giường TT22 BYT'!C10</f>
        <v>509400</v>
      </c>
      <c r="M12" s="225">
        <f t="shared" ref="M12:M21" si="3">ROUNDDOWN(N12,-2)</f>
        <v>509500</v>
      </c>
      <c r="N12" s="225">
        <f>O12+P12</f>
        <v>509546.17391304346</v>
      </c>
      <c r="O12" s="225">
        <f>'Giường BHYT'!E9</f>
        <v>299692.17391304346</v>
      </c>
      <c r="P12" s="225">
        <f t="shared" si="0"/>
        <v>209854</v>
      </c>
      <c r="Q12" s="225">
        <f t="shared" ref="Q12:Q21" si="4">ROUNDDOWN(R12,-2)</f>
        <v>599400</v>
      </c>
      <c r="R12" s="225">
        <f t="shared" ref="R12:R22" si="5">S12+T12</f>
        <v>599453.82608695654</v>
      </c>
      <c r="S12" s="228">
        <f t="shared" si="1"/>
        <v>389599.82608695654</v>
      </c>
      <c r="T12" s="225">
        <f t="shared" si="2"/>
        <v>209854</v>
      </c>
      <c r="U12" s="225" t="s">
        <v>237</v>
      </c>
      <c r="V12" s="225">
        <v>599400</v>
      </c>
      <c r="W12" s="225"/>
      <c r="X12" s="225"/>
      <c r="Y12" s="225"/>
      <c r="Z12" s="225"/>
      <c r="AA12" s="249"/>
    </row>
    <row r="13" spans="1:28" s="221" customFormat="1" ht="23.45" hidden="1" customHeight="1" x14ac:dyDescent="0.25">
      <c r="A13" s="223">
        <v>3</v>
      </c>
      <c r="B13" s="219"/>
      <c r="C13" s="220"/>
      <c r="D13" s="220"/>
      <c r="E13" s="219"/>
      <c r="F13" s="224" t="s">
        <v>72</v>
      </c>
      <c r="G13" s="223"/>
      <c r="H13" s="225"/>
      <c r="I13" s="225"/>
      <c r="J13" s="225">
        <f>'Giường BHYT'!C10+'Giường BHYT'!D10</f>
        <v>0</v>
      </c>
      <c r="K13" s="225"/>
      <c r="L13" s="225">
        <f>'Giường TT22 BYT'!C11</f>
        <v>0</v>
      </c>
      <c r="M13" s="225">
        <f t="shared" si="3"/>
        <v>0</v>
      </c>
      <c r="N13" s="225">
        <f t="shared" ref="N13:N21" si="6">O13+P13</f>
        <v>0</v>
      </c>
      <c r="O13" s="225">
        <f>'Giường BHYT'!E10</f>
        <v>0</v>
      </c>
      <c r="P13" s="225">
        <f t="shared" si="0"/>
        <v>0</v>
      </c>
      <c r="Q13" s="225">
        <f t="shared" si="4"/>
        <v>0</v>
      </c>
      <c r="R13" s="225">
        <f t="shared" si="5"/>
        <v>0</v>
      </c>
      <c r="S13" s="228">
        <f t="shared" si="1"/>
        <v>0</v>
      </c>
      <c r="T13" s="225">
        <f t="shared" si="2"/>
        <v>0</v>
      </c>
      <c r="U13" s="225"/>
      <c r="V13" s="225"/>
      <c r="W13" s="225"/>
      <c r="X13" s="225"/>
      <c r="Y13" s="225"/>
      <c r="Z13" s="225"/>
      <c r="AA13" s="249"/>
    </row>
    <row r="14" spans="1:28" s="221" customFormat="1" ht="64.150000000000006" hidden="1" customHeight="1" x14ac:dyDescent="0.25">
      <c r="A14" s="223" t="s">
        <v>73</v>
      </c>
      <c r="B14" s="219"/>
      <c r="C14" s="220"/>
      <c r="D14" s="220"/>
      <c r="E14" s="219"/>
      <c r="F14" s="224" t="s">
        <v>95</v>
      </c>
      <c r="G14" s="223"/>
      <c r="H14" s="225"/>
      <c r="I14" s="225"/>
      <c r="J14" s="225">
        <f>'Giường BHYT'!C11+'Giường BHYT'!D11</f>
        <v>93378</v>
      </c>
      <c r="K14" s="225"/>
      <c r="L14" s="225">
        <f>'Giường TT22 BYT'!C12</f>
        <v>273100</v>
      </c>
      <c r="M14" s="225">
        <f t="shared" si="3"/>
        <v>273100</v>
      </c>
      <c r="N14" s="225">
        <f t="shared" si="6"/>
        <v>273194</v>
      </c>
      <c r="O14" s="225">
        <f>'Giường BHYT'!E11</f>
        <v>179816</v>
      </c>
      <c r="P14" s="225">
        <f t="shared" si="0"/>
        <v>93378</v>
      </c>
      <c r="Q14" s="225">
        <f t="shared" si="4"/>
        <v>327100</v>
      </c>
      <c r="R14" s="225">
        <f t="shared" si="5"/>
        <v>327138.8</v>
      </c>
      <c r="S14" s="228">
        <f t="shared" si="1"/>
        <v>233760.8</v>
      </c>
      <c r="T14" s="225">
        <f t="shared" si="2"/>
        <v>93378</v>
      </c>
      <c r="U14" s="225" t="s">
        <v>238</v>
      </c>
      <c r="V14" s="225">
        <v>327100</v>
      </c>
      <c r="W14" s="225"/>
      <c r="X14" s="225"/>
      <c r="Y14" s="225"/>
      <c r="Z14" s="225"/>
      <c r="AA14" s="249"/>
    </row>
    <row r="15" spans="1:28" s="221" customFormat="1" ht="70.900000000000006" hidden="1" customHeight="1" x14ac:dyDescent="0.25">
      <c r="A15" s="223" t="s">
        <v>76</v>
      </c>
      <c r="B15" s="219"/>
      <c r="C15" s="220"/>
      <c r="D15" s="220"/>
      <c r="E15" s="219"/>
      <c r="F15" s="224" t="s">
        <v>96</v>
      </c>
      <c r="G15" s="223"/>
      <c r="H15" s="225"/>
      <c r="I15" s="225"/>
      <c r="J15" s="225">
        <f>'Giường BHYT'!C12+'Giường BHYT'!D12</f>
        <v>87445</v>
      </c>
      <c r="K15" s="225"/>
      <c r="L15" s="225">
        <f>'Giường TT22 BYT'!C14</f>
        <v>247200</v>
      </c>
      <c r="M15" s="225">
        <f t="shared" si="3"/>
        <v>247200</v>
      </c>
      <c r="N15" s="225">
        <f t="shared" si="6"/>
        <v>247281</v>
      </c>
      <c r="O15" s="225">
        <f>'Giường BHYT'!E12</f>
        <v>159836</v>
      </c>
      <c r="P15" s="225">
        <f t="shared" si="0"/>
        <v>87445</v>
      </c>
      <c r="Q15" s="225">
        <f t="shared" si="4"/>
        <v>295200</v>
      </c>
      <c r="R15" s="225">
        <f t="shared" si="5"/>
        <v>295231.8</v>
      </c>
      <c r="S15" s="228">
        <f t="shared" si="1"/>
        <v>207786.8</v>
      </c>
      <c r="T15" s="225">
        <f t="shared" si="2"/>
        <v>87445</v>
      </c>
      <c r="U15" s="225" t="s">
        <v>239</v>
      </c>
      <c r="V15" s="225">
        <v>295200</v>
      </c>
      <c r="W15" s="225"/>
      <c r="X15" s="225"/>
      <c r="Y15" s="225"/>
      <c r="Z15" s="225"/>
      <c r="AA15" s="249"/>
    </row>
    <row r="16" spans="1:28" s="221" customFormat="1" ht="23.45" hidden="1" customHeight="1" x14ac:dyDescent="0.25">
      <c r="A16" s="251" t="s">
        <v>78</v>
      </c>
      <c r="B16" s="219"/>
      <c r="C16" s="220"/>
      <c r="D16" s="220"/>
      <c r="E16" s="219"/>
      <c r="F16" s="224" t="s">
        <v>93</v>
      </c>
      <c r="G16" s="223"/>
      <c r="H16" s="225"/>
      <c r="I16" s="225"/>
      <c r="J16" s="225">
        <f>'Giường BHYT'!C13+'Giường BHYT'!D13</f>
        <v>69372</v>
      </c>
      <c r="K16" s="225"/>
      <c r="L16" s="225">
        <f>'Giường TT22 BYT'!C16</f>
        <v>209200</v>
      </c>
      <c r="M16" s="225">
        <f t="shared" si="3"/>
        <v>209200</v>
      </c>
      <c r="N16" s="225">
        <f t="shared" si="6"/>
        <v>209228.86956521738</v>
      </c>
      <c r="O16" s="225">
        <f>'Giường BHYT'!E13</f>
        <v>139856.86956521738</v>
      </c>
      <c r="P16" s="225">
        <f t="shared" si="0"/>
        <v>69372</v>
      </c>
      <c r="Q16" s="225">
        <f t="shared" si="4"/>
        <v>251100</v>
      </c>
      <c r="R16" s="225">
        <f t="shared" si="5"/>
        <v>251185.93043478261</v>
      </c>
      <c r="S16" s="228">
        <f t="shared" si="1"/>
        <v>181813.93043478261</v>
      </c>
      <c r="T16" s="225">
        <f t="shared" si="2"/>
        <v>69372</v>
      </c>
      <c r="U16" s="225" t="s">
        <v>240</v>
      </c>
      <c r="V16" s="225">
        <v>251100</v>
      </c>
      <c r="W16" s="225"/>
      <c r="X16" s="225"/>
      <c r="Y16" s="225"/>
      <c r="Z16" s="225"/>
      <c r="AA16" s="249"/>
    </row>
    <row r="17" spans="1:29" s="221" customFormat="1" ht="33" hidden="1" customHeight="1" x14ac:dyDescent="0.25">
      <c r="A17" s="251">
        <v>4</v>
      </c>
      <c r="B17" s="219"/>
      <c r="C17" s="220"/>
      <c r="D17" s="220"/>
      <c r="E17" s="219"/>
      <c r="F17" s="224" t="s">
        <v>97</v>
      </c>
      <c r="G17" s="223"/>
      <c r="H17" s="225"/>
      <c r="I17" s="225"/>
      <c r="J17" s="225">
        <f>'Giường BHYT'!C14+'Giường BHYT'!D14</f>
        <v>0</v>
      </c>
      <c r="K17" s="225"/>
      <c r="L17" s="225">
        <f>'Giường TT22 BYT'!C15</f>
        <v>0</v>
      </c>
      <c r="M17" s="225">
        <f t="shared" si="3"/>
        <v>0</v>
      </c>
      <c r="N17" s="225">
        <f t="shared" si="6"/>
        <v>0</v>
      </c>
      <c r="O17" s="225">
        <f>'Giường BHYT'!E14</f>
        <v>0</v>
      </c>
      <c r="P17" s="225">
        <f t="shared" si="0"/>
        <v>0</v>
      </c>
      <c r="Q17" s="225">
        <f t="shared" si="4"/>
        <v>0</v>
      </c>
      <c r="R17" s="225">
        <f t="shared" si="5"/>
        <v>0</v>
      </c>
      <c r="S17" s="228">
        <f t="shared" si="1"/>
        <v>0</v>
      </c>
      <c r="T17" s="225">
        <f t="shared" si="2"/>
        <v>0</v>
      </c>
      <c r="U17" s="225"/>
      <c r="V17" s="225"/>
      <c r="W17" s="225"/>
      <c r="X17" s="225"/>
      <c r="Y17" s="225"/>
      <c r="Z17" s="225"/>
      <c r="AA17" s="249"/>
    </row>
    <row r="18" spans="1:29" s="221" customFormat="1" ht="33" hidden="1" customHeight="1" x14ac:dyDescent="0.25">
      <c r="A18" s="251" t="s">
        <v>81</v>
      </c>
      <c r="B18" s="219"/>
      <c r="C18" s="220"/>
      <c r="D18" s="220"/>
      <c r="E18" s="219"/>
      <c r="F18" s="224" t="s">
        <v>98</v>
      </c>
      <c r="G18" s="223"/>
      <c r="H18" s="225"/>
      <c r="I18" s="225"/>
      <c r="J18" s="225">
        <f>'Giường BHYT'!C15+'Giường BHYT'!D15</f>
        <v>154781</v>
      </c>
      <c r="K18" s="225"/>
      <c r="L18" s="225">
        <f>'Giường TT22 BYT'!C18</f>
        <v>374500</v>
      </c>
      <c r="M18" s="225">
        <f t="shared" si="3"/>
        <v>374500</v>
      </c>
      <c r="N18" s="225">
        <f t="shared" si="6"/>
        <v>374556</v>
      </c>
      <c r="O18" s="225">
        <f>'Giường BHYT'!E15</f>
        <v>219775</v>
      </c>
      <c r="P18" s="225">
        <f t="shared" si="0"/>
        <v>154781</v>
      </c>
      <c r="Q18" s="225">
        <f t="shared" si="4"/>
        <v>440400</v>
      </c>
      <c r="R18" s="225">
        <f t="shared" si="5"/>
        <v>440488.5</v>
      </c>
      <c r="S18" s="228">
        <f t="shared" si="1"/>
        <v>285707.5</v>
      </c>
      <c r="T18" s="225">
        <f t="shared" si="2"/>
        <v>154781</v>
      </c>
      <c r="U18" s="225" t="s">
        <v>241</v>
      </c>
      <c r="V18" s="225">
        <v>440400</v>
      </c>
      <c r="W18" s="225"/>
      <c r="X18" s="225"/>
      <c r="Y18" s="225"/>
      <c r="Z18" s="225"/>
      <c r="AA18" s="249"/>
    </row>
    <row r="19" spans="1:29" s="221" customFormat="1" ht="33" hidden="1" customHeight="1" x14ac:dyDescent="0.25">
      <c r="A19" s="251" t="s">
        <v>83</v>
      </c>
      <c r="B19" s="219"/>
      <c r="C19" s="220"/>
      <c r="D19" s="220"/>
      <c r="E19" s="219"/>
      <c r="F19" s="224" t="s">
        <v>99</v>
      </c>
      <c r="G19" s="223"/>
      <c r="H19" s="225"/>
      <c r="I19" s="225"/>
      <c r="J19" s="225">
        <f>'Giường BHYT'!C16+'Giường BHYT'!D16</f>
        <v>135076</v>
      </c>
      <c r="K19" s="225"/>
      <c r="L19" s="225">
        <f>'Giường TT22 BYT'!C20</f>
        <v>334800</v>
      </c>
      <c r="M19" s="225">
        <f t="shared" si="3"/>
        <v>334800</v>
      </c>
      <c r="N19" s="225">
        <f t="shared" si="6"/>
        <v>334871.30434782605</v>
      </c>
      <c r="O19" s="225">
        <f>'Giường BHYT'!E16</f>
        <v>199795.30434782608</v>
      </c>
      <c r="P19" s="225">
        <f t="shared" si="0"/>
        <v>135076</v>
      </c>
      <c r="Q19" s="225">
        <f t="shared" si="4"/>
        <v>394800</v>
      </c>
      <c r="R19" s="225">
        <f t="shared" si="5"/>
        <v>394809.8956521739</v>
      </c>
      <c r="S19" s="228">
        <f t="shared" si="1"/>
        <v>259733.8956521739</v>
      </c>
      <c r="T19" s="225">
        <f t="shared" si="2"/>
        <v>135076</v>
      </c>
      <c r="U19" s="225" t="s">
        <v>242</v>
      </c>
      <c r="V19" s="225">
        <v>394800</v>
      </c>
      <c r="W19" s="225"/>
      <c r="X19" s="225"/>
      <c r="Y19" s="225"/>
      <c r="Z19" s="225"/>
      <c r="AA19" s="249"/>
    </row>
    <row r="20" spans="1:29" s="221" customFormat="1" ht="33" hidden="1" customHeight="1" x14ac:dyDescent="0.25">
      <c r="A20" s="251" t="s">
        <v>85</v>
      </c>
      <c r="B20" s="219"/>
      <c r="C20" s="220"/>
      <c r="D20" s="220"/>
      <c r="E20" s="219"/>
      <c r="F20" s="224" t="s">
        <v>100</v>
      </c>
      <c r="G20" s="223"/>
      <c r="H20" s="225"/>
      <c r="I20" s="225"/>
      <c r="J20" s="225">
        <f>'Giường BHYT'!C17+'Giường BHYT'!D17</f>
        <v>111932</v>
      </c>
      <c r="K20" s="225"/>
      <c r="L20" s="225">
        <f>'Giường TT22 BYT'!C22</f>
        <v>291900</v>
      </c>
      <c r="M20" s="225">
        <f t="shared" si="3"/>
        <v>291900</v>
      </c>
      <c r="N20" s="225">
        <f t="shared" si="6"/>
        <v>291903.82608695654</v>
      </c>
      <c r="O20" s="225">
        <f>'Giường BHYT'!E17</f>
        <v>179971.82608695654</v>
      </c>
      <c r="P20" s="225">
        <f t="shared" si="0"/>
        <v>111932</v>
      </c>
      <c r="Q20" s="225">
        <f t="shared" si="4"/>
        <v>345800</v>
      </c>
      <c r="R20" s="225">
        <f t="shared" si="5"/>
        <v>345895.37391304353</v>
      </c>
      <c r="S20" s="228">
        <f t="shared" si="1"/>
        <v>233963.3739130435</v>
      </c>
      <c r="T20" s="225">
        <f t="shared" si="2"/>
        <v>111932</v>
      </c>
      <c r="U20" s="225" t="s">
        <v>243</v>
      </c>
      <c r="V20" s="225">
        <v>345800</v>
      </c>
      <c r="W20" s="225"/>
      <c r="X20" s="225"/>
      <c r="Y20" s="225"/>
      <c r="Z20" s="225"/>
      <c r="AA20" s="249"/>
    </row>
    <row r="21" spans="1:29" s="221" customFormat="1" ht="3" hidden="1" customHeight="1" x14ac:dyDescent="0.25">
      <c r="A21" s="251" t="s">
        <v>87</v>
      </c>
      <c r="B21" s="219"/>
      <c r="C21" s="220"/>
      <c r="D21" s="220"/>
      <c r="E21" s="219"/>
      <c r="F21" s="224" t="s">
        <v>101</v>
      </c>
      <c r="G21" s="223"/>
      <c r="H21" s="225"/>
      <c r="I21" s="225"/>
      <c r="J21" s="225">
        <f>'Giường BHYT'!C18+'Giường BHYT'!D18</f>
        <v>102478</v>
      </c>
      <c r="K21" s="225"/>
      <c r="L21" s="225">
        <f>'Giường TT22 BYT'!C24</f>
        <v>262300</v>
      </c>
      <c r="M21" s="225">
        <f t="shared" si="3"/>
        <v>262400</v>
      </c>
      <c r="N21" s="225">
        <f t="shared" si="6"/>
        <v>262414</v>
      </c>
      <c r="O21" s="225">
        <f>'Giường BHYT'!E18</f>
        <v>159936</v>
      </c>
      <c r="P21" s="225">
        <f t="shared" si="0"/>
        <v>102478</v>
      </c>
      <c r="Q21" s="225">
        <f t="shared" si="4"/>
        <v>310300</v>
      </c>
      <c r="R21" s="225">
        <f t="shared" si="5"/>
        <v>310394.8</v>
      </c>
      <c r="S21" s="228">
        <f t="shared" si="1"/>
        <v>207916.79999999999</v>
      </c>
      <c r="T21" s="225">
        <f t="shared" si="2"/>
        <v>102478</v>
      </c>
      <c r="U21" s="225" t="s">
        <v>244</v>
      </c>
      <c r="V21" s="225">
        <v>310300</v>
      </c>
      <c r="W21" s="225"/>
      <c r="X21" s="225"/>
      <c r="Y21" s="225"/>
      <c r="Z21" s="225"/>
      <c r="AA21" s="249"/>
    </row>
    <row r="22" spans="1:29" ht="39" customHeight="1" x14ac:dyDescent="0.25">
      <c r="A22" s="217" t="s">
        <v>10</v>
      </c>
      <c r="B22" s="217"/>
      <c r="C22" s="217"/>
      <c r="D22" s="217"/>
      <c r="E22" s="217"/>
      <c r="F22" s="222" t="s">
        <v>286</v>
      </c>
      <c r="G22" s="223"/>
      <c r="H22" s="225"/>
      <c r="I22" s="225"/>
      <c r="J22" s="225"/>
      <c r="K22" s="225"/>
      <c r="L22" s="225"/>
      <c r="M22" s="225"/>
      <c r="N22" s="225"/>
      <c r="O22" s="228"/>
      <c r="P22" s="225"/>
      <c r="Q22" s="225"/>
      <c r="R22" s="225">
        <f t="shared" si="5"/>
        <v>0</v>
      </c>
      <c r="S22" s="228">
        <f t="shared" si="1"/>
        <v>0</v>
      </c>
      <c r="T22" s="225">
        <f t="shared" si="2"/>
        <v>0</v>
      </c>
      <c r="U22" s="225"/>
      <c r="V22" s="225"/>
      <c r="W22" s="225"/>
      <c r="X22" s="225"/>
      <c r="Y22" s="225"/>
      <c r="Z22" s="225"/>
      <c r="AA22" s="249"/>
    </row>
    <row r="23" spans="1:29" ht="27" customHeight="1" x14ac:dyDescent="0.25">
      <c r="A23" s="223">
        <v>1</v>
      </c>
      <c r="B23" s="217"/>
      <c r="C23" s="217"/>
      <c r="D23" s="217"/>
      <c r="E23" s="217"/>
      <c r="F23" s="224" t="s">
        <v>94</v>
      </c>
      <c r="G23" s="223"/>
      <c r="H23" s="225"/>
      <c r="I23" s="225"/>
      <c r="J23" s="225">
        <f>'Giường BHYT'!D20+'Giường BHYT'!C20</f>
        <v>313535</v>
      </c>
      <c r="K23" s="225"/>
      <c r="L23" s="225">
        <f>'Giường TT22 BYT'!D9</f>
        <v>786300</v>
      </c>
      <c r="M23" s="225">
        <f t="shared" ref="M23:M70" si="7">+ROUNDDOWN(N23,-2)</f>
        <v>786300</v>
      </c>
      <c r="N23" s="225">
        <f>O23+P23</f>
        <v>786329</v>
      </c>
      <c r="O23" s="228">
        <f>'Giường BHYT'!E20</f>
        <v>472794</v>
      </c>
      <c r="P23" s="225">
        <f t="shared" ref="P23:P69" si="8">J23</f>
        <v>313535</v>
      </c>
      <c r="Q23" s="225">
        <f t="shared" ref="Q23:Q70" si="9">+ROUNDDOWN(R23,-2)</f>
        <v>928100</v>
      </c>
      <c r="R23" s="225">
        <f>S23+T23</f>
        <v>928167.2</v>
      </c>
      <c r="S23" s="225">
        <f t="shared" si="1"/>
        <v>614632.19999999995</v>
      </c>
      <c r="T23" s="225">
        <f t="shared" si="2"/>
        <v>313535</v>
      </c>
      <c r="U23" s="229"/>
      <c r="V23" s="229"/>
      <c r="W23" s="225">
        <v>928100</v>
      </c>
      <c r="X23" s="225">
        <v>928100</v>
      </c>
      <c r="Y23" s="225">
        <v>928100</v>
      </c>
      <c r="Z23" s="225"/>
      <c r="AA23" s="249"/>
      <c r="AB23" s="230">
        <f>'Giường BHYT'!I20</f>
        <v>928100</v>
      </c>
      <c r="AC23" s="231">
        <f>Q23-AB23</f>
        <v>0</v>
      </c>
    </row>
    <row r="24" spans="1:29" ht="23.45" customHeight="1" x14ac:dyDescent="0.25">
      <c r="A24" s="223">
        <v>2</v>
      </c>
      <c r="B24" s="217"/>
      <c r="C24" s="217"/>
      <c r="D24" s="217"/>
      <c r="E24" s="217"/>
      <c r="F24" s="224" t="s">
        <v>71</v>
      </c>
      <c r="G24" s="223"/>
      <c r="H24" s="225"/>
      <c r="I24" s="225"/>
      <c r="J24" s="225">
        <f>'Giường BHYT'!D21+'Giường BHYT'!C21</f>
        <v>195423</v>
      </c>
      <c r="K24" s="225"/>
      <c r="L24" s="225">
        <f>'Giường TT22 BYT'!D10</f>
        <v>474700</v>
      </c>
      <c r="M24" s="225">
        <f t="shared" si="7"/>
        <v>474800</v>
      </c>
      <c r="N24" s="225">
        <f t="shared" ref="N24:N69" si="10">O24+P24</f>
        <v>474803.34782608697</v>
      </c>
      <c r="O24" s="228">
        <f>'Giường BHYT'!E21</f>
        <v>279380.34782608697</v>
      </c>
      <c r="P24" s="225">
        <f t="shared" si="8"/>
        <v>195423</v>
      </c>
      <c r="Q24" s="225">
        <f t="shared" si="9"/>
        <v>558600</v>
      </c>
      <c r="R24" s="225">
        <f t="shared" ref="R24:R69" si="11">S24+T24</f>
        <v>558617.45217391313</v>
      </c>
      <c r="S24" s="225">
        <f t="shared" si="1"/>
        <v>363194.45217391307</v>
      </c>
      <c r="T24" s="225">
        <f t="shared" si="2"/>
        <v>195423</v>
      </c>
      <c r="U24" s="229"/>
      <c r="V24" s="229"/>
      <c r="W24" s="225">
        <v>558600</v>
      </c>
      <c r="X24" s="225">
        <v>558600</v>
      </c>
      <c r="Y24" s="225">
        <v>558600</v>
      </c>
      <c r="Z24" s="225"/>
      <c r="AA24" s="249"/>
      <c r="AB24" s="230">
        <f>'Giường BHYT'!I21</f>
        <v>558600</v>
      </c>
      <c r="AC24" s="231">
        <f>Q24-AB24</f>
        <v>0</v>
      </c>
    </row>
    <row r="25" spans="1:29" ht="29.45" customHeight="1" x14ac:dyDescent="0.25">
      <c r="A25" s="223">
        <v>3</v>
      </c>
      <c r="B25" s="217"/>
      <c r="C25" s="217"/>
      <c r="D25" s="217"/>
      <c r="E25" s="217"/>
      <c r="F25" s="224" t="s">
        <v>72</v>
      </c>
      <c r="G25" s="223"/>
      <c r="H25" s="225"/>
      <c r="I25" s="225"/>
      <c r="J25" s="225">
        <f>'Giường BHYT'!D22+'Giường BHYT'!C22</f>
        <v>0</v>
      </c>
      <c r="K25" s="225"/>
      <c r="L25" s="225">
        <f>'Giường TT22 BYT'!D11</f>
        <v>0</v>
      </c>
      <c r="M25" s="225">
        <f t="shared" si="7"/>
        <v>0</v>
      </c>
      <c r="N25" s="225">
        <f t="shared" si="10"/>
        <v>0</v>
      </c>
      <c r="O25" s="228">
        <f>'Giường BHYT'!E22</f>
        <v>0</v>
      </c>
      <c r="P25" s="225">
        <f t="shared" si="8"/>
        <v>0</v>
      </c>
      <c r="Q25" s="225">
        <f t="shared" si="9"/>
        <v>0</v>
      </c>
      <c r="R25" s="225">
        <f t="shared" si="11"/>
        <v>0</v>
      </c>
      <c r="S25" s="225">
        <f t="shared" si="1"/>
        <v>0</v>
      </c>
      <c r="T25" s="225">
        <f t="shared" si="2"/>
        <v>0</v>
      </c>
      <c r="U25" s="229"/>
      <c r="V25" s="229"/>
      <c r="W25" s="225">
        <v>0</v>
      </c>
      <c r="X25" s="225">
        <v>0</v>
      </c>
      <c r="Y25" s="225">
        <v>0</v>
      </c>
      <c r="Z25" s="225"/>
      <c r="AA25" s="249"/>
      <c r="AB25" s="230">
        <f>'Giường BHYT'!I22</f>
        <v>0</v>
      </c>
      <c r="AC25" s="231">
        <f>Q25-AB25</f>
        <v>0</v>
      </c>
    </row>
    <row r="26" spans="1:29" ht="54.75" customHeight="1" x14ac:dyDescent="0.25">
      <c r="A26" s="223" t="s">
        <v>73</v>
      </c>
      <c r="B26" s="217"/>
      <c r="C26" s="217"/>
      <c r="D26" s="217"/>
      <c r="E26" s="217"/>
      <c r="F26" s="224" t="s">
        <v>279</v>
      </c>
      <c r="G26" s="223"/>
      <c r="H26" s="225"/>
      <c r="I26" s="225"/>
      <c r="J26" s="225">
        <f>'Giường BHYT'!D23+'Giường BHYT'!C23</f>
        <v>87865</v>
      </c>
      <c r="K26" s="225"/>
      <c r="L26" s="225">
        <f>'Giường TT22 BYT'!D12</f>
        <v>255300</v>
      </c>
      <c r="M26" s="225">
        <f t="shared" si="7"/>
        <v>255300</v>
      </c>
      <c r="N26" s="225">
        <f t="shared" si="10"/>
        <v>255327</v>
      </c>
      <c r="O26" s="228">
        <f>'Giường BHYT'!E23</f>
        <v>167462</v>
      </c>
      <c r="P26" s="225">
        <f t="shared" si="8"/>
        <v>87865</v>
      </c>
      <c r="Q26" s="225">
        <f t="shared" si="9"/>
        <v>305500</v>
      </c>
      <c r="R26" s="225">
        <f t="shared" si="11"/>
        <v>305565.59999999998</v>
      </c>
      <c r="S26" s="225">
        <f t="shared" si="1"/>
        <v>217700.6</v>
      </c>
      <c r="T26" s="225">
        <f t="shared" si="2"/>
        <v>87865</v>
      </c>
      <c r="U26" s="229"/>
      <c r="V26" s="229"/>
      <c r="W26" s="225">
        <v>305500</v>
      </c>
      <c r="X26" s="225">
        <v>305500</v>
      </c>
      <c r="Y26" s="225">
        <v>305500</v>
      </c>
      <c r="Z26" s="225"/>
      <c r="AA26" s="249"/>
      <c r="AB26" s="230">
        <f>'Giường BHYT'!I23</f>
        <v>305500</v>
      </c>
      <c r="AC26" s="231">
        <f>Q26-AB26</f>
        <v>0</v>
      </c>
    </row>
    <row r="27" spans="1:29" ht="66" customHeight="1" x14ac:dyDescent="0.25">
      <c r="A27" s="223" t="s">
        <v>76</v>
      </c>
      <c r="B27" s="217"/>
      <c r="C27" s="217"/>
      <c r="D27" s="217"/>
      <c r="E27" s="217"/>
      <c r="F27" s="224" t="s">
        <v>96</v>
      </c>
      <c r="G27" s="223"/>
      <c r="H27" s="225"/>
      <c r="I27" s="225"/>
      <c r="J27" s="225">
        <f>'Giường BHYT'!D24+'Giường BHYT'!C24</f>
        <v>80368</v>
      </c>
      <c r="K27" s="225"/>
      <c r="L27" s="225">
        <f>'Giường TT22 BYT'!D14</f>
        <v>229200</v>
      </c>
      <c r="M27" s="225">
        <f t="shared" si="7"/>
        <v>229200</v>
      </c>
      <c r="N27" s="225">
        <f t="shared" si="10"/>
        <v>229223.30434782611</v>
      </c>
      <c r="O27" s="228">
        <f>'Giường BHYT'!E24</f>
        <v>148855.30434782611</v>
      </c>
      <c r="P27" s="225">
        <f t="shared" si="8"/>
        <v>80368</v>
      </c>
      <c r="Q27" s="225">
        <f t="shared" si="9"/>
        <v>273800</v>
      </c>
      <c r="R27" s="225">
        <f t="shared" si="11"/>
        <v>273879.89565217396</v>
      </c>
      <c r="S27" s="225">
        <f t="shared" si="1"/>
        <v>193511.89565217396</v>
      </c>
      <c r="T27" s="225">
        <f t="shared" si="2"/>
        <v>80368</v>
      </c>
      <c r="U27" s="229"/>
      <c r="V27" s="229"/>
      <c r="W27" s="225">
        <v>273800</v>
      </c>
      <c r="X27" s="225">
        <v>273800</v>
      </c>
      <c r="Y27" s="225">
        <v>273800</v>
      </c>
      <c r="Z27" s="225"/>
      <c r="AA27" s="249"/>
      <c r="AB27" s="230">
        <f>'Giường BHYT'!I24</f>
        <v>273800</v>
      </c>
      <c r="AC27" s="231">
        <f>Q27-AB27</f>
        <v>0</v>
      </c>
    </row>
    <row r="28" spans="1:29" ht="29.25" customHeight="1" x14ac:dyDescent="0.25">
      <c r="A28" s="251" t="s">
        <v>78</v>
      </c>
      <c r="B28" s="243"/>
      <c r="C28" s="243"/>
      <c r="D28" s="243"/>
      <c r="E28" s="243"/>
      <c r="F28" s="224" t="s">
        <v>93</v>
      </c>
      <c r="G28" s="243"/>
      <c r="H28" s="244"/>
      <c r="I28" s="244"/>
      <c r="J28" s="225">
        <f>'Giường BHYT'!D25+'Giường BHYT'!C25</f>
        <v>63638</v>
      </c>
      <c r="K28" s="244"/>
      <c r="L28" s="225">
        <f>'Giường TT22 BYT'!D16</f>
        <v>193800</v>
      </c>
      <c r="M28" s="225">
        <f t="shared" si="7"/>
        <v>193800</v>
      </c>
      <c r="N28" s="225">
        <f t="shared" si="10"/>
        <v>193886</v>
      </c>
      <c r="O28" s="228">
        <f>'Giường BHYT'!E25</f>
        <v>130248</v>
      </c>
      <c r="P28" s="225">
        <f t="shared" si="8"/>
        <v>63638</v>
      </c>
      <c r="Q28" s="225">
        <f t="shared" si="9"/>
        <v>232900</v>
      </c>
      <c r="R28" s="225">
        <f t="shared" si="11"/>
        <v>232960.4</v>
      </c>
      <c r="S28" s="225">
        <f t="shared" si="1"/>
        <v>169322.4</v>
      </c>
      <c r="T28" s="225">
        <f t="shared" si="2"/>
        <v>63638</v>
      </c>
      <c r="U28" s="229"/>
      <c r="V28" s="229"/>
      <c r="W28" s="225">
        <v>232900</v>
      </c>
      <c r="X28" s="225">
        <v>232900</v>
      </c>
      <c r="Y28" s="225">
        <v>232900</v>
      </c>
      <c r="Z28" s="225"/>
      <c r="AA28" s="249"/>
      <c r="AB28" s="230">
        <f>'Giường BHYT'!I25</f>
        <v>232900</v>
      </c>
      <c r="AC28" s="231">
        <f>Q28-AB28</f>
        <v>0</v>
      </c>
    </row>
    <row r="29" spans="1:29" ht="30" customHeight="1" x14ac:dyDescent="0.25">
      <c r="A29" s="251">
        <v>4</v>
      </c>
      <c r="B29" s="243"/>
      <c r="C29" s="243"/>
      <c r="D29" s="243"/>
      <c r="E29" s="243"/>
      <c r="F29" s="224" t="s">
        <v>97</v>
      </c>
      <c r="G29" s="243"/>
      <c r="H29" s="244"/>
      <c r="I29" s="244"/>
      <c r="J29" s="225">
        <f>'Giường BHYT'!D26+'Giường BHYT'!C26</f>
        <v>0</v>
      </c>
      <c r="K29" s="244"/>
      <c r="L29" s="225"/>
      <c r="M29" s="225">
        <f t="shared" si="7"/>
        <v>0</v>
      </c>
      <c r="N29" s="225">
        <f t="shared" si="10"/>
        <v>0</v>
      </c>
      <c r="O29" s="228">
        <f>'Giường BHYT'!E26</f>
        <v>0</v>
      </c>
      <c r="P29" s="225">
        <f t="shared" si="8"/>
        <v>0</v>
      </c>
      <c r="Q29" s="225">
        <f t="shared" si="9"/>
        <v>0</v>
      </c>
      <c r="R29" s="225">
        <f t="shared" si="11"/>
        <v>0</v>
      </c>
      <c r="S29" s="225">
        <f t="shared" si="1"/>
        <v>0</v>
      </c>
      <c r="T29" s="225">
        <f t="shared" si="2"/>
        <v>0</v>
      </c>
      <c r="U29" s="229"/>
      <c r="V29" s="229"/>
      <c r="W29" s="225">
        <v>0</v>
      </c>
      <c r="X29" s="225">
        <v>0</v>
      </c>
      <c r="Y29" s="225">
        <v>0</v>
      </c>
      <c r="Z29" s="225"/>
      <c r="AA29" s="249"/>
      <c r="AB29" s="230">
        <f>'Giường BHYT'!I26</f>
        <v>0</v>
      </c>
      <c r="AC29" s="231">
        <f>Q29-AB29</f>
        <v>0</v>
      </c>
    </row>
    <row r="30" spans="1:29" ht="33" customHeight="1" x14ac:dyDescent="0.25">
      <c r="A30" s="251" t="s">
        <v>81</v>
      </c>
      <c r="B30" s="243"/>
      <c r="C30" s="243"/>
      <c r="D30" s="243"/>
      <c r="E30" s="243"/>
      <c r="F30" s="224" t="s">
        <v>98</v>
      </c>
      <c r="G30" s="243"/>
      <c r="H30" s="244"/>
      <c r="I30" s="244"/>
      <c r="J30" s="225">
        <f>'Giường BHYT'!D27+'Giường BHYT'!C27</f>
        <v>134366</v>
      </c>
      <c r="K30" s="244"/>
      <c r="L30" s="225">
        <f>'Giường TT22 BYT'!D18</f>
        <v>339000</v>
      </c>
      <c r="M30" s="225">
        <f t="shared" si="7"/>
        <v>339000</v>
      </c>
      <c r="N30" s="225">
        <f t="shared" si="10"/>
        <v>339041</v>
      </c>
      <c r="O30" s="228">
        <f>'Giường BHYT'!E27</f>
        <v>204675</v>
      </c>
      <c r="P30" s="225">
        <f t="shared" si="8"/>
        <v>134366</v>
      </c>
      <c r="Q30" s="225">
        <f t="shared" si="9"/>
        <v>400400</v>
      </c>
      <c r="R30" s="225">
        <f t="shared" si="11"/>
        <v>400443.5</v>
      </c>
      <c r="S30" s="225">
        <f t="shared" si="1"/>
        <v>266077.5</v>
      </c>
      <c r="T30" s="225">
        <f t="shared" si="2"/>
        <v>134366</v>
      </c>
      <c r="U30" s="229"/>
      <c r="V30" s="229"/>
      <c r="W30" s="225">
        <v>400400</v>
      </c>
      <c r="X30" s="225">
        <v>400400</v>
      </c>
      <c r="Y30" s="225">
        <v>400400</v>
      </c>
      <c r="Z30" s="225"/>
      <c r="AA30" s="249"/>
      <c r="AB30" s="230">
        <f>'Giường BHYT'!I27</f>
        <v>400400</v>
      </c>
      <c r="AC30" s="231">
        <f>Q30-AB30</f>
        <v>0</v>
      </c>
    </row>
    <row r="31" spans="1:29" ht="21.75" customHeight="1" x14ac:dyDescent="0.25">
      <c r="A31" s="251" t="s">
        <v>83</v>
      </c>
      <c r="B31" s="243"/>
      <c r="C31" s="243"/>
      <c r="D31" s="243"/>
      <c r="E31" s="243"/>
      <c r="F31" s="224" t="s">
        <v>99</v>
      </c>
      <c r="G31" s="243"/>
      <c r="H31" s="244"/>
      <c r="I31" s="244"/>
      <c r="J31" s="225">
        <f>'Giường BHYT'!D28+'Giường BHYT'!C28</f>
        <v>122515</v>
      </c>
      <c r="K31" s="244"/>
      <c r="L31" s="225">
        <f>'Giường TT22 BYT'!D20</f>
        <v>308500</v>
      </c>
      <c r="M31" s="225">
        <f t="shared" si="7"/>
        <v>308500</v>
      </c>
      <c r="N31" s="225">
        <f t="shared" si="10"/>
        <v>308584</v>
      </c>
      <c r="O31" s="228">
        <f>'Giường BHYT'!E28</f>
        <v>186069</v>
      </c>
      <c r="P31" s="225">
        <f t="shared" si="8"/>
        <v>122515</v>
      </c>
      <c r="Q31" s="225">
        <f t="shared" si="9"/>
        <v>364400</v>
      </c>
      <c r="R31" s="225">
        <f t="shared" si="11"/>
        <v>364404.7</v>
      </c>
      <c r="S31" s="225">
        <f t="shared" si="1"/>
        <v>241889.7</v>
      </c>
      <c r="T31" s="225">
        <f t="shared" si="2"/>
        <v>122515</v>
      </c>
      <c r="U31" s="229"/>
      <c r="V31" s="229"/>
      <c r="W31" s="225">
        <v>364400</v>
      </c>
      <c r="X31" s="225">
        <v>364400</v>
      </c>
      <c r="Y31" s="225">
        <v>364400</v>
      </c>
      <c r="Z31" s="225"/>
      <c r="AA31" s="249"/>
      <c r="AB31" s="230">
        <f>'Giường BHYT'!I28</f>
        <v>364400</v>
      </c>
      <c r="AC31" s="231">
        <f>Q31-AB31</f>
        <v>0</v>
      </c>
    </row>
    <row r="32" spans="1:29" ht="31.5" x14ac:dyDescent="0.25">
      <c r="A32" s="251" t="s">
        <v>85</v>
      </c>
      <c r="B32" s="243"/>
      <c r="C32" s="243"/>
      <c r="D32" s="243"/>
      <c r="E32" s="243"/>
      <c r="F32" s="224" t="s">
        <v>100</v>
      </c>
      <c r="G32" s="243"/>
      <c r="H32" s="244"/>
      <c r="I32" s="244"/>
      <c r="J32" s="225">
        <f>'Giường BHYT'!D29+'Giường BHYT'!C29</f>
        <v>103070</v>
      </c>
      <c r="K32" s="244"/>
      <c r="L32" s="225">
        <f>'Giường TT22 BYT'!D22</f>
        <v>270500</v>
      </c>
      <c r="M32" s="225">
        <f t="shared" si="7"/>
        <v>270500</v>
      </c>
      <c r="N32" s="225">
        <f t="shared" si="10"/>
        <v>270532</v>
      </c>
      <c r="O32" s="228">
        <f>'Giường BHYT'!E29</f>
        <v>167462</v>
      </c>
      <c r="P32" s="225">
        <f t="shared" si="8"/>
        <v>103070</v>
      </c>
      <c r="Q32" s="225">
        <f t="shared" si="9"/>
        <v>320700</v>
      </c>
      <c r="R32" s="225">
        <f t="shared" si="11"/>
        <v>320770.59999999998</v>
      </c>
      <c r="S32" s="225">
        <f t="shared" si="1"/>
        <v>217700.6</v>
      </c>
      <c r="T32" s="225">
        <f t="shared" si="2"/>
        <v>103070</v>
      </c>
      <c r="U32" s="229"/>
      <c r="V32" s="229"/>
      <c r="W32" s="225">
        <v>320700</v>
      </c>
      <c r="X32" s="225">
        <v>320700</v>
      </c>
      <c r="Y32" s="225">
        <v>320700</v>
      </c>
      <c r="Z32" s="225"/>
      <c r="AA32" s="249"/>
      <c r="AB32" s="230">
        <f>'Giường BHYT'!I29</f>
        <v>320700</v>
      </c>
      <c r="AC32" s="231">
        <f>Q32-AB32</f>
        <v>0</v>
      </c>
    </row>
    <row r="33" spans="1:29" ht="36" customHeight="1" x14ac:dyDescent="0.25">
      <c r="A33" s="251" t="s">
        <v>87</v>
      </c>
      <c r="B33" s="243"/>
      <c r="C33" s="243"/>
      <c r="D33" s="243"/>
      <c r="E33" s="243"/>
      <c r="F33" s="224" t="s">
        <v>101</v>
      </c>
      <c r="G33" s="243"/>
      <c r="H33" s="244"/>
      <c r="I33" s="244"/>
      <c r="J33" s="225">
        <f>'Giường BHYT'!D30+'Giường BHYT'!C30</f>
        <v>93272</v>
      </c>
      <c r="K33" s="244"/>
      <c r="L33" s="225">
        <f>'Giường TT22 BYT'!D24</f>
        <v>242100</v>
      </c>
      <c r="M33" s="225">
        <f t="shared" si="7"/>
        <v>242100</v>
      </c>
      <c r="N33" s="225">
        <f t="shared" si="10"/>
        <v>242127.30434782611</v>
      </c>
      <c r="O33" s="228">
        <f>'Giường BHYT'!E30</f>
        <v>148855.30434782611</v>
      </c>
      <c r="P33" s="225">
        <f t="shared" si="8"/>
        <v>93272</v>
      </c>
      <c r="Q33" s="225">
        <f t="shared" si="9"/>
        <v>286700</v>
      </c>
      <c r="R33" s="225">
        <f t="shared" si="11"/>
        <v>286783.89565217396</v>
      </c>
      <c r="S33" s="225">
        <f t="shared" si="1"/>
        <v>193511.89565217396</v>
      </c>
      <c r="T33" s="225">
        <f t="shared" si="2"/>
        <v>93272</v>
      </c>
      <c r="U33" s="229"/>
      <c r="V33" s="229"/>
      <c r="W33" s="225">
        <v>286700</v>
      </c>
      <c r="X33" s="225">
        <v>286700</v>
      </c>
      <c r="Y33" s="225">
        <v>286700</v>
      </c>
      <c r="Z33" s="225"/>
      <c r="AA33" s="249"/>
      <c r="AB33" s="230">
        <f>'Giường BHYT'!I30</f>
        <v>286700</v>
      </c>
      <c r="AC33" s="231">
        <f>Q33-AB33</f>
        <v>0</v>
      </c>
    </row>
    <row r="34" spans="1:29" s="281" customFormat="1" ht="41.25" customHeight="1" x14ac:dyDescent="0.2">
      <c r="A34" s="277" t="s">
        <v>15</v>
      </c>
      <c r="B34" s="237"/>
      <c r="C34" s="237"/>
      <c r="D34" s="237"/>
      <c r="E34" s="237"/>
      <c r="F34" s="222" t="s">
        <v>287</v>
      </c>
      <c r="G34" s="243"/>
      <c r="H34" s="244"/>
      <c r="I34" s="244"/>
      <c r="J34" s="225">
        <f>'Giường BHYT'!D31+'Giường BHYT'!C31</f>
        <v>0</v>
      </c>
      <c r="K34" s="244"/>
      <c r="L34" s="225"/>
      <c r="M34" s="225">
        <f t="shared" si="7"/>
        <v>0</v>
      </c>
      <c r="N34" s="225">
        <f t="shared" si="10"/>
        <v>0</v>
      </c>
      <c r="O34" s="228">
        <f>'Giường BHYT'!E31</f>
        <v>0</v>
      </c>
      <c r="P34" s="225">
        <f t="shared" si="8"/>
        <v>0</v>
      </c>
      <c r="Q34" s="225">
        <f t="shared" si="9"/>
        <v>0</v>
      </c>
      <c r="R34" s="225">
        <f t="shared" si="11"/>
        <v>0</v>
      </c>
      <c r="S34" s="225">
        <f t="shared" si="1"/>
        <v>0</v>
      </c>
      <c r="T34" s="225">
        <f t="shared" si="2"/>
        <v>0</v>
      </c>
      <c r="U34" s="225"/>
      <c r="V34" s="225"/>
      <c r="W34" s="225"/>
      <c r="X34" s="225"/>
      <c r="Y34" s="225"/>
      <c r="Z34" s="225"/>
      <c r="AA34" s="249"/>
      <c r="AB34" s="245">
        <f>'Giường BHYT'!I31</f>
        <v>0</v>
      </c>
      <c r="AC34" s="246">
        <f>Q34-AB34</f>
        <v>0</v>
      </c>
    </row>
    <row r="35" spans="1:29" ht="25.5" customHeight="1" x14ac:dyDescent="0.25">
      <c r="A35" s="251">
        <v>1</v>
      </c>
      <c r="B35" s="243"/>
      <c r="C35" s="243"/>
      <c r="D35" s="243"/>
      <c r="E35" s="243"/>
      <c r="F35" s="224" t="s">
        <v>94</v>
      </c>
      <c r="G35" s="243"/>
      <c r="H35" s="244"/>
      <c r="I35" s="244"/>
      <c r="J35" s="225">
        <f>'Giường BHYT'!D32+'Giường BHYT'!C32</f>
        <v>254823</v>
      </c>
      <c r="K35" s="244"/>
      <c r="L35" s="225">
        <f>'Giường TT22 BYT'!E9</f>
        <v>673900</v>
      </c>
      <c r="M35" s="225">
        <f t="shared" si="7"/>
        <v>673900</v>
      </c>
      <c r="N35" s="225">
        <f t="shared" si="10"/>
        <v>673929</v>
      </c>
      <c r="O35" s="228">
        <f>'Giường BHYT'!E32</f>
        <v>419106</v>
      </c>
      <c r="P35" s="225">
        <f t="shared" si="8"/>
        <v>254823</v>
      </c>
      <c r="Q35" s="225">
        <f t="shared" si="9"/>
        <v>799600</v>
      </c>
      <c r="R35" s="225">
        <f t="shared" si="11"/>
        <v>799660.8</v>
      </c>
      <c r="S35" s="225">
        <f t="shared" si="1"/>
        <v>544837.80000000005</v>
      </c>
      <c r="T35" s="225">
        <f t="shared" si="2"/>
        <v>254823</v>
      </c>
      <c r="U35" s="225"/>
      <c r="V35" s="225"/>
      <c r="W35" s="225">
        <v>928100</v>
      </c>
      <c r="X35" s="225"/>
      <c r="Y35" s="225"/>
      <c r="Z35" s="225">
        <v>799600</v>
      </c>
      <c r="AA35" s="327"/>
      <c r="AB35" s="230">
        <f>'Giường BHYT'!I32</f>
        <v>799600</v>
      </c>
      <c r="AC35" s="231">
        <f>Q35-AB35</f>
        <v>0</v>
      </c>
    </row>
    <row r="36" spans="1:29" ht="24.75" customHeight="1" x14ac:dyDescent="0.25">
      <c r="A36" s="251">
        <v>2</v>
      </c>
      <c r="B36" s="243"/>
      <c r="C36" s="243"/>
      <c r="D36" s="243"/>
      <c r="E36" s="243"/>
      <c r="F36" s="224" t="s">
        <v>71</v>
      </c>
      <c r="G36" s="243"/>
      <c r="H36" s="244"/>
      <c r="I36" s="244"/>
      <c r="J36" s="225">
        <f>'Giường BHYT'!D33+'Giường BHYT'!C33</f>
        <v>161472</v>
      </c>
      <c r="K36" s="244"/>
      <c r="L36" s="225">
        <f>'Giường TT22 BYT'!E10</f>
        <v>359200</v>
      </c>
      <c r="M36" s="225">
        <f t="shared" si="7"/>
        <v>359200</v>
      </c>
      <c r="N36" s="225">
        <f t="shared" si="10"/>
        <v>359215.30434782605</v>
      </c>
      <c r="O36" s="228">
        <f>'Giường BHYT'!E33</f>
        <v>197743.30434782608</v>
      </c>
      <c r="P36" s="225">
        <f t="shared" si="8"/>
        <v>161472</v>
      </c>
      <c r="Q36" s="225">
        <f t="shared" si="9"/>
        <v>418500</v>
      </c>
      <c r="R36" s="225">
        <f t="shared" si="11"/>
        <v>418538.29565217393</v>
      </c>
      <c r="S36" s="225">
        <f t="shared" si="1"/>
        <v>257066.2956521739</v>
      </c>
      <c r="T36" s="225">
        <f t="shared" si="2"/>
        <v>161472</v>
      </c>
      <c r="U36" s="225"/>
      <c r="V36" s="225"/>
      <c r="W36" s="225">
        <v>558600</v>
      </c>
      <c r="X36" s="225"/>
      <c r="Y36" s="225"/>
      <c r="Z36" s="225">
        <v>418500</v>
      </c>
      <c r="AA36" s="328"/>
      <c r="AB36" s="230">
        <f>'Giường BHYT'!I33</f>
        <v>418500</v>
      </c>
      <c r="AC36" s="231">
        <f>Q36-AB36</f>
        <v>0</v>
      </c>
    </row>
    <row r="37" spans="1:29" ht="24.75" customHeight="1" x14ac:dyDescent="0.25">
      <c r="A37" s="251">
        <v>3</v>
      </c>
      <c r="B37" s="243"/>
      <c r="C37" s="243"/>
      <c r="D37" s="243"/>
      <c r="E37" s="243"/>
      <c r="F37" s="224" t="s">
        <v>72</v>
      </c>
      <c r="G37" s="243"/>
      <c r="H37" s="244"/>
      <c r="I37" s="244"/>
      <c r="J37" s="225">
        <f>'Giường BHYT'!D34+'Giường BHYT'!C34</f>
        <v>0</v>
      </c>
      <c r="K37" s="244"/>
      <c r="L37" s="225">
        <f>'Giường TT22 BYT'!E11</f>
        <v>0</v>
      </c>
      <c r="M37" s="225">
        <f t="shared" si="7"/>
        <v>0</v>
      </c>
      <c r="N37" s="225">
        <f t="shared" si="10"/>
        <v>0</v>
      </c>
      <c r="O37" s="228">
        <f>'Giường BHYT'!E34</f>
        <v>0</v>
      </c>
      <c r="P37" s="225">
        <f t="shared" si="8"/>
        <v>0</v>
      </c>
      <c r="Q37" s="225">
        <f t="shared" si="9"/>
        <v>0</v>
      </c>
      <c r="R37" s="225">
        <f t="shared" si="11"/>
        <v>0</v>
      </c>
      <c r="S37" s="225">
        <f t="shared" si="1"/>
        <v>0</v>
      </c>
      <c r="T37" s="225">
        <f t="shared" si="2"/>
        <v>0</v>
      </c>
      <c r="U37" s="225"/>
      <c r="V37" s="225"/>
      <c r="W37" s="225">
        <v>0</v>
      </c>
      <c r="X37" s="225"/>
      <c r="Y37" s="225"/>
      <c r="Z37" s="225"/>
      <c r="AA37" s="328"/>
      <c r="AB37" s="230">
        <f>'Giường BHYT'!I34</f>
        <v>0</v>
      </c>
      <c r="AC37" s="231">
        <f>Q37-AB37</f>
        <v>0</v>
      </c>
    </row>
    <row r="38" spans="1:29" ht="62.25" customHeight="1" x14ac:dyDescent="0.25">
      <c r="A38" s="251" t="s">
        <v>73</v>
      </c>
      <c r="B38" s="243"/>
      <c r="C38" s="243"/>
      <c r="D38" s="243"/>
      <c r="E38" s="243"/>
      <c r="F38" s="224" t="s">
        <v>279</v>
      </c>
      <c r="G38" s="243"/>
      <c r="H38" s="244"/>
      <c r="I38" s="244"/>
      <c r="J38" s="225">
        <f>'Giường BHYT'!D35+'Giường BHYT'!C35</f>
        <v>64301</v>
      </c>
      <c r="K38" s="244"/>
      <c r="L38" s="225">
        <f>'Giường TT22 BYT'!E12</f>
        <v>212600</v>
      </c>
      <c r="M38" s="225">
        <f t="shared" si="7"/>
        <v>212600</v>
      </c>
      <c r="N38" s="225">
        <f t="shared" si="10"/>
        <v>212609</v>
      </c>
      <c r="O38" s="228">
        <f>'Giường BHYT'!E35</f>
        <v>148308</v>
      </c>
      <c r="P38" s="225">
        <f t="shared" si="8"/>
        <v>64301</v>
      </c>
      <c r="Q38" s="225">
        <f t="shared" si="9"/>
        <v>257100</v>
      </c>
      <c r="R38" s="225">
        <f t="shared" si="11"/>
        <v>257101.4</v>
      </c>
      <c r="S38" s="225">
        <f t="shared" si="1"/>
        <v>192800.4</v>
      </c>
      <c r="T38" s="225">
        <f t="shared" si="2"/>
        <v>64301</v>
      </c>
      <c r="U38" s="225"/>
      <c r="V38" s="225"/>
      <c r="W38" s="225">
        <v>305500</v>
      </c>
      <c r="X38" s="225"/>
      <c r="Y38" s="225"/>
      <c r="Z38" s="225">
        <v>257000</v>
      </c>
      <c r="AA38" s="328"/>
      <c r="AB38" s="230">
        <f>'Giường BHYT'!I35</f>
        <v>257100</v>
      </c>
      <c r="AC38" s="231">
        <f>Q38-AB38</f>
        <v>0</v>
      </c>
    </row>
    <row r="39" spans="1:29" ht="60.75" customHeight="1" x14ac:dyDescent="0.25">
      <c r="A39" s="251" t="s">
        <v>76</v>
      </c>
      <c r="B39" s="243"/>
      <c r="C39" s="243"/>
      <c r="D39" s="243"/>
      <c r="E39" s="243"/>
      <c r="F39" s="224" t="s">
        <v>96</v>
      </c>
      <c r="G39" s="243"/>
      <c r="H39" s="244"/>
      <c r="I39" s="244"/>
      <c r="J39" s="225">
        <f>'Giường BHYT'!D36+'Giường BHYT'!C36</f>
        <v>50925</v>
      </c>
      <c r="K39" s="244"/>
      <c r="L39" s="225">
        <f>'Giường TT22 BYT'!E14</f>
        <v>182700</v>
      </c>
      <c r="M39" s="225">
        <f t="shared" si="7"/>
        <v>182700</v>
      </c>
      <c r="N39" s="225">
        <f t="shared" si="10"/>
        <v>182753.86956521741</v>
      </c>
      <c r="O39" s="228">
        <f>'Giường BHYT'!E36</f>
        <v>131828.86956521741</v>
      </c>
      <c r="P39" s="225">
        <f t="shared" si="8"/>
        <v>50925</v>
      </c>
      <c r="Q39" s="225">
        <f t="shared" si="9"/>
        <v>222300</v>
      </c>
      <c r="R39" s="225">
        <f t="shared" si="11"/>
        <v>222302.53043478265</v>
      </c>
      <c r="S39" s="225">
        <f t="shared" si="1"/>
        <v>171377.53043478265</v>
      </c>
      <c r="T39" s="225">
        <f t="shared" si="2"/>
        <v>50925</v>
      </c>
      <c r="U39" s="225"/>
      <c r="V39" s="225"/>
      <c r="W39" s="225">
        <v>273800</v>
      </c>
      <c r="X39" s="225"/>
      <c r="Y39" s="225"/>
      <c r="Z39" s="225">
        <v>222300</v>
      </c>
      <c r="AA39" s="328"/>
      <c r="AB39" s="230">
        <f>'Giường BHYT'!I36</f>
        <v>222300</v>
      </c>
      <c r="AC39" s="231">
        <f>Q39-AB39</f>
        <v>0</v>
      </c>
    </row>
    <row r="40" spans="1:29" ht="21" customHeight="1" x14ac:dyDescent="0.25">
      <c r="A40" s="251" t="s">
        <v>78</v>
      </c>
      <c r="B40" s="243"/>
      <c r="C40" s="243"/>
      <c r="D40" s="243"/>
      <c r="E40" s="243"/>
      <c r="F40" s="224" t="s">
        <v>93</v>
      </c>
      <c r="G40" s="243"/>
      <c r="H40" s="244"/>
      <c r="I40" s="244"/>
      <c r="J40" s="225">
        <f>'Giường BHYT'!D37+'Giường BHYT'!C37</f>
        <v>48813</v>
      </c>
      <c r="K40" s="244"/>
      <c r="L40" s="225">
        <f>'Giường TT22 BYT'!E16</f>
        <v>147600</v>
      </c>
      <c r="M40" s="225">
        <f t="shared" si="7"/>
        <v>147600</v>
      </c>
      <c r="N40" s="225">
        <f t="shared" si="10"/>
        <v>147684.65217391303</v>
      </c>
      <c r="O40" s="228">
        <f>'Giường BHYT'!E37</f>
        <v>98871.65217391304</v>
      </c>
      <c r="P40" s="225">
        <f t="shared" si="8"/>
        <v>48813</v>
      </c>
      <c r="Q40" s="225">
        <f t="shared" si="9"/>
        <v>177300</v>
      </c>
      <c r="R40" s="225">
        <f t="shared" si="11"/>
        <v>177346.14782608696</v>
      </c>
      <c r="S40" s="225">
        <f t="shared" si="1"/>
        <v>128533.14782608695</v>
      </c>
      <c r="T40" s="225">
        <f t="shared" si="2"/>
        <v>48813</v>
      </c>
      <c r="U40" s="225"/>
      <c r="V40" s="225"/>
      <c r="W40" s="225">
        <v>232900</v>
      </c>
      <c r="X40" s="225"/>
      <c r="Y40" s="225"/>
      <c r="Z40" s="225">
        <v>177300</v>
      </c>
      <c r="AA40" s="328"/>
      <c r="AB40" s="230">
        <f>'Giường BHYT'!I37</f>
        <v>177300</v>
      </c>
      <c r="AC40" s="231">
        <f>Q40-AB40</f>
        <v>0</v>
      </c>
    </row>
    <row r="41" spans="1:29" ht="21" customHeight="1" x14ac:dyDescent="0.25">
      <c r="A41" s="251">
        <v>4</v>
      </c>
      <c r="B41" s="243"/>
      <c r="C41" s="243"/>
      <c r="D41" s="243"/>
      <c r="E41" s="243"/>
      <c r="F41" s="224" t="s">
        <v>97</v>
      </c>
      <c r="G41" s="243"/>
      <c r="H41" s="244"/>
      <c r="I41" s="244"/>
      <c r="J41" s="225">
        <f>'Giường BHYT'!D38+'Giường BHYT'!C38</f>
        <v>0</v>
      </c>
      <c r="K41" s="244"/>
      <c r="L41" s="225">
        <f>'Giường TT22 BYT'!E15</f>
        <v>0</v>
      </c>
      <c r="M41" s="225">
        <f t="shared" si="7"/>
        <v>0</v>
      </c>
      <c r="N41" s="225">
        <f t="shared" si="10"/>
        <v>0</v>
      </c>
      <c r="O41" s="228">
        <f>'Giường BHYT'!E38</f>
        <v>0</v>
      </c>
      <c r="P41" s="225">
        <f t="shared" si="8"/>
        <v>0</v>
      </c>
      <c r="Q41" s="225">
        <f t="shared" si="9"/>
        <v>0</v>
      </c>
      <c r="R41" s="225">
        <f t="shared" si="11"/>
        <v>0</v>
      </c>
      <c r="S41" s="225">
        <f t="shared" si="1"/>
        <v>0</v>
      </c>
      <c r="T41" s="225">
        <f t="shared" si="2"/>
        <v>0</v>
      </c>
      <c r="U41" s="225"/>
      <c r="V41" s="225"/>
      <c r="W41" s="225">
        <v>0</v>
      </c>
      <c r="X41" s="225"/>
      <c r="Y41" s="225"/>
      <c r="Z41" s="225"/>
      <c r="AA41" s="328"/>
      <c r="AB41" s="230">
        <f>'Giường BHYT'!I38</f>
        <v>0</v>
      </c>
      <c r="AC41" s="231">
        <f>Q41-AB41</f>
        <v>0</v>
      </c>
    </row>
    <row r="42" spans="1:29" ht="30.75" customHeight="1" x14ac:dyDescent="0.25">
      <c r="A42" s="251" t="s">
        <v>81</v>
      </c>
      <c r="B42" s="243"/>
      <c r="C42" s="243"/>
      <c r="D42" s="243"/>
      <c r="E42" s="243"/>
      <c r="F42" s="224" t="s">
        <v>98</v>
      </c>
      <c r="G42" s="243"/>
      <c r="H42" s="244"/>
      <c r="I42" s="244"/>
      <c r="J42" s="225">
        <f>'Giường BHYT'!D39+'Giường BHYT'!C39</f>
        <v>106246</v>
      </c>
      <c r="K42" s="244"/>
      <c r="L42" s="225">
        <f>'Giường TT22 BYT'!E18</f>
        <v>287500</v>
      </c>
      <c r="M42" s="225">
        <f t="shared" si="7"/>
        <v>287500</v>
      </c>
      <c r="N42" s="225">
        <f t="shared" si="10"/>
        <v>287510.69565217395</v>
      </c>
      <c r="O42" s="228">
        <f>'Giường BHYT'!E39</f>
        <v>181264.69565217392</v>
      </c>
      <c r="P42" s="225">
        <f t="shared" si="8"/>
        <v>106246</v>
      </c>
      <c r="Q42" s="225">
        <f t="shared" si="9"/>
        <v>341800</v>
      </c>
      <c r="R42" s="225">
        <f t="shared" si="11"/>
        <v>341890.1043478261</v>
      </c>
      <c r="S42" s="225">
        <f t="shared" si="1"/>
        <v>235644.1043478261</v>
      </c>
      <c r="T42" s="225">
        <f t="shared" si="2"/>
        <v>106246</v>
      </c>
      <c r="U42" s="225"/>
      <c r="V42" s="225"/>
      <c r="W42" s="225">
        <v>400400</v>
      </c>
      <c r="X42" s="225"/>
      <c r="Y42" s="225"/>
      <c r="Z42" s="225">
        <v>341800</v>
      </c>
      <c r="AA42" s="328"/>
      <c r="AB42" s="230">
        <f>'Giường BHYT'!I39</f>
        <v>341800</v>
      </c>
      <c r="AC42" s="231">
        <f>Q42-AB42</f>
        <v>0</v>
      </c>
    </row>
    <row r="43" spans="1:29" ht="21" customHeight="1" x14ac:dyDescent="0.25">
      <c r="A43" s="251" t="s">
        <v>83</v>
      </c>
      <c r="B43" s="243"/>
      <c r="C43" s="243"/>
      <c r="D43" s="243"/>
      <c r="E43" s="243"/>
      <c r="F43" s="224" t="s">
        <v>99</v>
      </c>
      <c r="G43" s="243"/>
      <c r="H43" s="244"/>
      <c r="I43" s="244"/>
      <c r="J43" s="225">
        <f>'Giường BHYT'!D40+'Giường BHYT'!C40</f>
        <v>87379</v>
      </c>
      <c r="K43" s="244"/>
      <c r="L43" s="225">
        <f>'Giường TT22 BYT'!E20</f>
        <v>252100</v>
      </c>
      <c r="M43" s="225">
        <f t="shared" si="7"/>
        <v>252100</v>
      </c>
      <c r="N43" s="225">
        <f t="shared" si="10"/>
        <v>252165.08695652173</v>
      </c>
      <c r="O43" s="228">
        <f>'Giường BHYT'!E40</f>
        <v>164786.08695652173</v>
      </c>
      <c r="P43" s="225">
        <f t="shared" si="8"/>
        <v>87379</v>
      </c>
      <c r="Q43" s="225">
        <f t="shared" si="9"/>
        <v>301600</v>
      </c>
      <c r="R43" s="225">
        <f t="shared" si="11"/>
        <v>301600.91304347827</v>
      </c>
      <c r="S43" s="225">
        <f t="shared" ref="S43:S69" si="12">O43*2340/1800</f>
        <v>214221.91304347827</v>
      </c>
      <c r="T43" s="225">
        <f t="shared" ref="T43:T69" si="13">J43</f>
        <v>87379</v>
      </c>
      <c r="U43" s="225"/>
      <c r="V43" s="225"/>
      <c r="W43" s="225">
        <v>364400</v>
      </c>
      <c r="X43" s="225"/>
      <c r="Y43" s="225"/>
      <c r="Z43" s="225">
        <v>301600</v>
      </c>
      <c r="AA43" s="328"/>
      <c r="AB43" s="230">
        <f>'Giường BHYT'!I40</f>
        <v>301600</v>
      </c>
      <c r="AC43" s="231">
        <f>Q43-AB43</f>
        <v>0</v>
      </c>
    </row>
    <row r="44" spans="1:29" ht="31.5" x14ac:dyDescent="0.25">
      <c r="A44" s="251" t="s">
        <v>85</v>
      </c>
      <c r="B44" s="243"/>
      <c r="C44" s="243"/>
      <c r="D44" s="243"/>
      <c r="E44" s="243"/>
      <c r="F44" s="224" t="s">
        <v>100</v>
      </c>
      <c r="G44" s="243"/>
      <c r="H44" s="244"/>
      <c r="I44" s="244"/>
      <c r="J44" s="225">
        <f>'Giường BHYT'!D41+'Giường BHYT'!C41</f>
        <v>76475</v>
      </c>
      <c r="K44" s="244"/>
      <c r="L44" s="225">
        <f>'Giường TT22 BYT'!E22</f>
        <v>224700</v>
      </c>
      <c r="M44" s="225">
        <f t="shared" si="7"/>
        <v>224700</v>
      </c>
      <c r="N44" s="225">
        <f t="shared" si="10"/>
        <v>224783</v>
      </c>
      <c r="O44" s="228">
        <f>'Giường BHYT'!E41</f>
        <v>148308</v>
      </c>
      <c r="P44" s="225">
        <f t="shared" si="8"/>
        <v>76475</v>
      </c>
      <c r="Q44" s="225">
        <f t="shared" si="9"/>
        <v>269200</v>
      </c>
      <c r="R44" s="225">
        <f t="shared" si="11"/>
        <v>269275.40000000002</v>
      </c>
      <c r="S44" s="225">
        <f t="shared" si="12"/>
        <v>192800.4</v>
      </c>
      <c r="T44" s="225">
        <f t="shared" si="13"/>
        <v>76475</v>
      </c>
      <c r="U44" s="225"/>
      <c r="V44" s="225"/>
      <c r="W44" s="225">
        <v>320700</v>
      </c>
      <c r="X44" s="225"/>
      <c r="Y44" s="225"/>
      <c r="Z44" s="225">
        <v>269200</v>
      </c>
      <c r="AA44" s="328"/>
      <c r="AB44" s="230">
        <f>'Giường BHYT'!I41</f>
        <v>269200</v>
      </c>
      <c r="AC44" s="231">
        <f>Q44-AB44</f>
        <v>0</v>
      </c>
    </row>
    <row r="45" spans="1:29" ht="35.25" customHeight="1" x14ac:dyDescent="0.25">
      <c r="A45" s="251" t="s">
        <v>87</v>
      </c>
      <c r="B45" s="243"/>
      <c r="C45" s="243"/>
      <c r="D45" s="243"/>
      <c r="E45" s="243"/>
      <c r="F45" s="224" t="s">
        <v>101</v>
      </c>
      <c r="G45" s="243"/>
      <c r="H45" s="244"/>
      <c r="I45" s="244"/>
      <c r="J45" s="225">
        <f>'Giường BHYT'!D42+'Giường BHYT'!C42</f>
        <v>68535</v>
      </c>
      <c r="K45" s="244"/>
      <c r="L45" s="225">
        <f>'Giường TT22 BYT'!E24</f>
        <v>192100</v>
      </c>
      <c r="M45" s="225">
        <f t="shared" si="7"/>
        <v>192100</v>
      </c>
      <c r="N45" s="225">
        <f t="shared" si="10"/>
        <v>192124.5652173913</v>
      </c>
      <c r="O45" s="228">
        <f>'Giường BHYT'!E42</f>
        <v>123589.56521739131</v>
      </c>
      <c r="P45" s="225">
        <f t="shared" si="8"/>
        <v>68535</v>
      </c>
      <c r="Q45" s="225">
        <f t="shared" si="9"/>
        <v>229200</v>
      </c>
      <c r="R45" s="225">
        <f t="shared" si="11"/>
        <v>229201.4347826087</v>
      </c>
      <c r="S45" s="225">
        <f t="shared" si="12"/>
        <v>160666.4347826087</v>
      </c>
      <c r="T45" s="225">
        <f t="shared" si="13"/>
        <v>68535</v>
      </c>
      <c r="U45" s="225"/>
      <c r="V45" s="225"/>
      <c r="W45" s="225">
        <v>286700</v>
      </c>
      <c r="X45" s="225"/>
      <c r="Y45" s="225"/>
      <c r="Z45" s="225">
        <v>229200</v>
      </c>
      <c r="AA45" s="329"/>
      <c r="AB45" s="230">
        <f>'Giường BHYT'!I42</f>
        <v>229200</v>
      </c>
      <c r="AC45" s="231">
        <f>Q45-AB45</f>
        <v>0</v>
      </c>
    </row>
    <row r="46" spans="1:29" s="281" customFormat="1" ht="42" customHeight="1" x14ac:dyDescent="0.2">
      <c r="A46" s="277" t="s">
        <v>20</v>
      </c>
      <c r="B46" s="237"/>
      <c r="C46" s="237"/>
      <c r="D46" s="237"/>
      <c r="E46" s="237"/>
      <c r="F46" s="222" t="s">
        <v>290</v>
      </c>
      <c r="G46" s="243"/>
      <c r="H46" s="244"/>
      <c r="I46" s="244"/>
      <c r="J46" s="225">
        <f>'Giường BHYT'!D43+'Giường BHYT'!C43</f>
        <v>0</v>
      </c>
      <c r="K46" s="244"/>
      <c r="L46" s="225"/>
      <c r="M46" s="225">
        <f t="shared" si="7"/>
        <v>0</v>
      </c>
      <c r="N46" s="225">
        <f t="shared" si="10"/>
        <v>0</v>
      </c>
      <c r="O46" s="228">
        <f>'Giường BHYT'!E43</f>
        <v>0</v>
      </c>
      <c r="P46" s="225">
        <f t="shared" si="8"/>
        <v>0</v>
      </c>
      <c r="Q46" s="225">
        <f t="shared" si="9"/>
        <v>0</v>
      </c>
      <c r="R46" s="225">
        <f t="shared" si="11"/>
        <v>0</v>
      </c>
      <c r="S46" s="225">
        <f t="shared" si="12"/>
        <v>0</v>
      </c>
      <c r="T46" s="225">
        <f t="shared" si="13"/>
        <v>0</v>
      </c>
      <c r="U46" s="225"/>
      <c r="V46" s="225"/>
      <c r="W46" s="225"/>
      <c r="X46" s="225"/>
      <c r="Y46" s="225"/>
      <c r="Z46" s="225"/>
      <c r="AA46" s="249"/>
      <c r="AB46" s="245">
        <f>'Giường BHYT'!I43</f>
        <v>0</v>
      </c>
      <c r="AC46" s="246">
        <f>Q46-AB46</f>
        <v>0</v>
      </c>
    </row>
    <row r="47" spans="1:29" ht="20.25" customHeight="1" x14ac:dyDescent="0.25">
      <c r="A47" s="251">
        <v>1</v>
      </c>
      <c r="B47" s="243"/>
      <c r="C47" s="243"/>
      <c r="D47" s="243"/>
      <c r="E47" s="243"/>
      <c r="F47" s="224" t="s">
        <v>94</v>
      </c>
      <c r="G47" s="243"/>
      <c r="H47" s="244"/>
      <c r="I47" s="244"/>
      <c r="J47" s="225">
        <f>'Giường BHYT'!D44+'Giường BHYT'!C44</f>
        <v>0</v>
      </c>
      <c r="K47" s="244"/>
      <c r="L47" s="225">
        <f>'Giường TT22 BYT'!E21</f>
        <v>0</v>
      </c>
      <c r="M47" s="225">
        <f t="shared" si="7"/>
        <v>0</v>
      </c>
      <c r="N47" s="225">
        <f t="shared" si="10"/>
        <v>0</v>
      </c>
      <c r="O47" s="228">
        <f>'Giường BHYT'!E44</f>
        <v>0</v>
      </c>
      <c r="P47" s="225">
        <f t="shared" si="8"/>
        <v>0</v>
      </c>
      <c r="Q47" s="225">
        <f t="shared" si="9"/>
        <v>0</v>
      </c>
      <c r="R47" s="225">
        <f t="shared" si="11"/>
        <v>0</v>
      </c>
      <c r="S47" s="225">
        <f t="shared" si="12"/>
        <v>0</v>
      </c>
      <c r="T47" s="225">
        <f t="shared" si="13"/>
        <v>0</v>
      </c>
      <c r="U47" s="225"/>
      <c r="V47" s="225"/>
      <c r="W47" s="225"/>
      <c r="X47" s="225"/>
      <c r="Y47" s="225"/>
      <c r="Z47" s="225"/>
      <c r="AA47" s="249"/>
      <c r="AB47" s="230">
        <f>'Giường BHYT'!I44</f>
        <v>0</v>
      </c>
      <c r="AC47" s="231">
        <f>Q47-AB47</f>
        <v>0</v>
      </c>
    </row>
    <row r="48" spans="1:29" ht="20.25" customHeight="1" x14ac:dyDescent="0.25">
      <c r="A48" s="251">
        <v>2</v>
      </c>
      <c r="B48" s="243"/>
      <c r="C48" s="243"/>
      <c r="D48" s="243"/>
      <c r="E48" s="243"/>
      <c r="F48" s="224" t="s">
        <v>71</v>
      </c>
      <c r="G48" s="243"/>
      <c r="H48" s="244"/>
      <c r="I48" s="244"/>
      <c r="J48" s="225">
        <f>'Giường BHYT'!D45+'Giường BHYT'!C45</f>
        <v>138203</v>
      </c>
      <c r="K48" s="244"/>
      <c r="L48" s="225">
        <f>'Giường TT22 BYT'!F10</f>
        <v>312200</v>
      </c>
      <c r="M48" s="225">
        <f t="shared" si="7"/>
        <v>312200</v>
      </c>
      <c r="N48" s="225">
        <f t="shared" si="10"/>
        <v>312228.5652173913</v>
      </c>
      <c r="O48" s="228">
        <f>'Giường BHYT'!E45</f>
        <v>174025.5652173913</v>
      </c>
      <c r="P48" s="225">
        <f t="shared" si="8"/>
        <v>138203</v>
      </c>
      <c r="Q48" s="225">
        <f t="shared" si="9"/>
        <v>364400</v>
      </c>
      <c r="R48" s="225">
        <f t="shared" si="11"/>
        <v>364436.23478260869</v>
      </c>
      <c r="S48" s="225">
        <f t="shared" si="12"/>
        <v>226233.23478260869</v>
      </c>
      <c r="T48" s="225">
        <f t="shared" si="13"/>
        <v>138203</v>
      </c>
      <c r="U48" s="225"/>
      <c r="V48" s="225"/>
      <c r="W48" s="225">
        <v>928100</v>
      </c>
      <c r="X48" s="225"/>
      <c r="Y48" s="225"/>
      <c r="Z48" s="225"/>
      <c r="AA48" s="249"/>
      <c r="AB48" s="230">
        <f>'Giường BHYT'!I45</f>
        <v>364400</v>
      </c>
      <c r="AC48" s="231">
        <f>Q48-AB48</f>
        <v>0</v>
      </c>
    </row>
    <row r="49" spans="1:29" ht="20.25" customHeight="1" x14ac:dyDescent="0.25">
      <c r="A49" s="251">
        <v>3</v>
      </c>
      <c r="B49" s="243"/>
      <c r="C49" s="243"/>
      <c r="D49" s="243"/>
      <c r="E49" s="243"/>
      <c r="F49" s="224" t="s">
        <v>72</v>
      </c>
      <c r="G49" s="243"/>
      <c r="H49" s="244"/>
      <c r="I49" s="244"/>
      <c r="J49" s="225">
        <f>'Giường BHYT'!D46+'Giường BHYT'!C46</f>
        <v>0</v>
      </c>
      <c r="K49" s="244"/>
      <c r="L49" s="225">
        <f>'Giường TT22 BYT'!E23</f>
        <v>0</v>
      </c>
      <c r="M49" s="225">
        <f t="shared" si="7"/>
        <v>0</v>
      </c>
      <c r="N49" s="225">
        <f t="shared" si="10"/>
        <v>0</v>
      </c>
      <c r="O49" s="228">
        <f>'Giường BHYT'!E46</f>
        <v>0</v>
      </c>
      <c r="P49" s="225">
        <f t="shared" si="8"/>
        <v>0</v>
      </c>
      <c r="Q49" s="225">
        <f t="shared" si="9"/>
        <v>0</v>
      </c>
      <c r="R49" s="225">
        <f t="shared" si="11"/>
        <v>0</v>
      </c>
      <c r="S49" s="225">
        <f t="shared" si="12"/>
        <v>0</v>
      </c>
      <c r="T49" s="225">
        <f t="shared" si="13"/>
        <v>0</v>
      </c>
      <c r="U49" s="225"/>
      <c r="V49" s="225"/>
      <c r="W49" s="225">
        <v>558600</v>
      </c>
      <c r="X49" s="225"/>
      <c r="Y49" s="225"/>
      <c r="Z49" s="225"/>
      <c r="AA49" s="249"/>
      <c r="AB49" s="230">
        <f>'Giường BHYT'!I46</f>
        <v>0</v>
      </c>
      <c r="AC49" s="231">
        <f>Q49-AB49</f>
        <v>0</v>
      </c>
    </row>
    <row r="50" spans="1:29" ht="62.25" customHeight="1" x14ac:dyDescent="0.25">
      <c r="A50" s="251" t="s">
        <v>73</v>
      </c>
      <c r="B50" s="243"/>
      <c r="C50" s="243"/>
      <c r="D50" s="243"/>
      <c r="E50" s="243"/>
      <c r="F50" s="224" t="s">
        <v>279</v>
      </c>
      <c r="G50" s="243"/>
      <c r="H50" s="244"/>
      <c r="I50" s="244"/>
      <c r="J50" s="225">
        <f>'Giường BHYT'!D47+'Giường BHYT'!C47</f>
        <v>41416</v>
      </c>
      <c r="K50" s="244"/>
      <c r="L50" s="225">
        <f>'Giường TT22 BYT'!F12</f>
        <v>198000</v>
      </c>
      <c r="M50" s="225">
        <f t="shared" si="7"/>
        <v>198000</v>
      </c>
      <c r="N50" s="225">
        <f t="shared" si="10"/>
        <v>198040</v>
      </c>
      <c r="O50" s="228">
        <f>'Giường BHYT'!E47</f>
        <v>156624</v>
      </c>
      <c r="P50" s="225">
        <f t="shared" si="8"/>
        <v>41416</v>
      </c>
      <c r="Q50" s="225">
        <f t="shared" si="9"/>
        <v>245000</v>
      </c>
      <c r="R50" s="225">
        <f t="shared" si="11"/>
        <v>245027.20000000001</v>
      </c>
      <c r="S50" s="225">
        <f t="shared" si="12"/>
        <v>203611.2</v>
      </c>
      <c r="T50" s="225">
        <f t="shared" si="13"/>
        <v>41416</v>
      </c>
      <c r="U50" s="225"/>
      <c r="V50" s="225"/>
      <c r="W50" s="225">
        <v>0</v>
      </c>
      <c r="X50" s="225"/>
      <c r="Y50" s="225"/>
      <c r="Z50" s="225"/>
      <c r="AA50" s="249"/>
      <c r="AB50" s="230">
        <f>'Giường BHYT'!I47</f>
        <v>245000</v>
      </c>
      <c r="AC50" s="231">
        <f>Q50-AB50</f>
        <v>0</v>
      </c>
    </row>
    <row r="51" spans="1:29" ht="56.25" customHeight="1" x14ac:dyDescent="0.25">
      <c r="A51" s="251" t="s">
        <v>76</v>
      </c>
      <c r="B51" s="243"/>
      <c r="C51" s="243"/>
      <c r="D51" s="243"/>
      <c r="E51" s="243"/>
      <c r="F51" s="224" t="s">
        <v>96</v>
      </c>
      <c r="G51" s="243"/>
      <c r="H51" s="244"/>
      <c r="I51" s="244"/>
      <c r="J51" s="225">
        <f>'Giường BHYT'!D48+'Giường BHYT'!C48</f>
        <v>40610</v>
      </c>
      <c r="K51" s="244"/>
      <c r="L51" s="225">
        <f>'Giường TT22 BYT'!F14</f>
        <v>171600</v>
      </c>
      <c r="M51" s="225">
        <f t="shared" si="7"/>
        <v>171600</v>
      </c>
      <c r="N51" s="225">
        <f t="shared" si="10"/>
        <v>171684.4347826087</v>
      </c>
      <c r="O51" s="228">
        <f>'Giường BHYT'!E48</f>
        <v>131074.4347826087</v>
      </c>
      <c r="P51" s="225">
        <f t="shared" si="8"/>
        <v>40610</v>
      </c>
      <c r="Q51" s="225">
        <f t="shared" si="9"/>
        <v>211000</v>
      </c>
      <c r="R51" s="225">
        <f t="shared" si="11"/>
        <v>211006.76521739131</v>
      </c>
      <c r="S51" s="225">
        <f t="shared" si="12"/>
        <v>170396.76521739131</v>
      </c>
      <c r="T51" s="225">
        <f t="shared" si="13"/>
        <v>40610</v>
      </c>
      <c r="U51" s="225"/>
      <c r="V51" s="225"/>
      <c r="W51" s="225">
        <v>305500</v>
      </c>
      <c r="X51" s="225"/>
      <c r="Y51" s="225"/>
      <c r="Z51" s="225"/>
      <c r="AA51" s="249"/>
      <c r="AB51" s="230">
        <f>'Giường BHYT'!I48</f>
        <v>211000</v>
      </c>
      <c r="AC51" s="231">
        <f>Q51-AB51</f>
        <v>0</v>
      </c>
    </row>
    <row r="52" spans="1:29" ht="17.25" customHeight="1" x14ac:dyDescent="0.25">
      <c r="A52" s="251" t="s">
        <v>78</v>
      </c>
      <c r="B52" s="243"/>
      <c r="C52" s="243"/>
      <c r="D52" s="243"/>
      <c r="E52" s="243"/>
      <c r="F52" s="224" t="s">
        <v>93</v>
      </c>
      <c r="G52" s="243"/>
      <c r="H52" s="244"/>
      <c r="I52" s="244"/>
      <c r="J52" s="225">
        <f>'Giường BHYT'!D49+'Giường BHYT'!C49</f>
        <v>36929</v>
      </c>
      <c r="K52" s="244"/>
      <c r="L52" s="225">
        <f>'Giường TT22 BYT'!F16</f>
        <v>138600</v>
      </c>
      <c r="M52" s="225">
        <f t="shared" si="7"/>
        <v>138600</v>
      </c>
      <c r="N52" s="225">
        <f t="shared" si="10"/>
        <v>138690.04347826086</v>
      </c>
      <c r="O52" s="228">
        <f>'Giường BHYT'!E49</f>
        <v>101761.04347826086</v>
      </c>
      <c r="P52" s="225">
        <f t="shared" si="8"/>
        <v>36929</v>
      </c>
      <c r="Q52" s="225">
        <f t="shared" si="9"/>
        <v>169200</v>
      </c>
      <c r="R52" s="225">
        <f t="shared" si="11"/>
        <v>169218.35652173913</v>
      </c>
      <c r="S52" s="225">
        <f t="shared" si="12"/>
        <v>132289.35652173913</v>
      </c>
      <c r="T52" s="225">
        <f t="shared" si="13"/>
        <v>36929</v>
      </c>
      <c r="U52" s="225"/>
      <c r="V52" s="225"/>
      <c r="W52" s="225">
        <v>273800</v>
      </c>
      <c r="X52" s="225"/>
      <c r="Y52" s="225"/>
      <c r="Z52" s="225"/>
      <c r="AA52" s="249"/>
      <c r="AB52" s="230">
        <f>'Giường BHYT'!I49</f>
        <v>169200</v>
      </c>
      <c r="AC52" s="231">
        <f>Q52-AB52</f>
        <v>0</v>
      </c>
    </row>
    <row r="53" spans="1:29" ht="24" customHeight="1" x14ac:dyDescent="0.25">
      <c r="A53" s="251">
        <v>4</v>
      </c>
      <c r="B53" s="243"/>
      <c r="C53" s="243"/>
      <c r="D53" s="243"/>
      <c r="E53" s="243"/>
      <c r="F53" s="224" t="s">
        <v>97</v>
      </c>
      <c r="G53" s="243"/>
      <c r="H53" s="244"/>
      <c r="I53" s="244"/>
      <c r="J53" s="225">
        <f>'Giường BHYT'!D50+'Giường BHYT'!C50</f>
        <v>0</v>
      </c>
      <c r="K53" s="244"/>
      <c r="L53" s="225">
        <f>'Giường TT22 BYT'!F15</f>
        <v>0</v>
      </c>
      <c r="M53" s="225">
        <f t="shared" si="7"/>
        <v>0</v>
      </c>
      <c r="N53" s="225">
        <f t="shared" si="10"/>
        <v>0</v>
      </c>
      <c r="O53" s="228">
        <f>'Giường BHYT'!E50</f>
        <v>0</v>
      </c>
      <c r="P53" s="225">
        <f t="shared" si="8"/>
        <v>0</v>
      </c>
      <c r="Q53" s="225">
        <f t="shared" si="9"/>
        <v>0</v>
      </c>
      <c r="R53" s="225">
        <f t="shared" si="11"/>
        <v>0</v>
      </c>
      <c r="S53" s="225">
        <f t="shared" si="12"/>
        <v>0</v>
      </c>
      <c r="T53" s="225">
        <f t="shared" si="13"/>
        <v>0</v>
      </c>
      <c r="U53" s="225"/>
      <c r="V53" s="225"/>
      <c r="W53" s="225">
        <v>232900</v>
      </c>
      <c r="X53" s="225"/>
      <c r="Y53" s="225"/>
      <c r="Z53" s="225"/>
      <c r="AA53" s="249"/>
      <c r="AB53" s="230">
        <f>'Giường BHYT'!I50</f>
        <v>0</v>
      </c>
      <c r="AC53" s="231">
        <f>Q53-AB53</f>
        <v>0</v>
      </c>
    </row>
    <row r="54" spans="1:29" ht="32.25" customHeight="1" x14ac:dyDescent="0.25">
      <c r="A54" s="251" t="s">
        <v>81</v>
      </c>
      <c r="B54" s="243"/>
      <c r="C54" s="243"/>
      <c r="D54" s="243"/>
      <c r="E54" s="243"/>
      <c r="F54" s="224" t="s">
        <v>98</v>
      </c>
      <c r="G54" s="243"/>
      <c r="H54" s="244"/>
      <c r="I54" s="244"/>
      <c r="J54" s="225">
        <f>'Giường BHYT'!D51+'Giường BHYT'!C51</f>
        <v>0</v>
      </c>
      <c r="K54" s="244"/>
      <c r="L54" s="225"/>
      <c r="M54" s="225">
        <f t="shared" si="7"/>
        <v>0</v>
      </c>
      <c r="N54" s="225">
        <f t="shared" si="10"/>
        <v>0</v>
      </c>
      <c r="O54" s="228">
        <f>'Giường BHYT'!E51</f>
        <v>0</v>
      </c>
      <c r="P54" s="225">
        <f t="shared" si="8"/>
        <v>0</v>
      </c>
      <c r="Q54" s="225">
        <f t="shared" si="9"/>
        <v>0</v>
      </c>
      <c r="R54" s="225">
        <f t="shared" si="11"/>
        <v>0</v>
      </c>
      <c r="S54" s="225">
        <f t="shared" si="12"/>
        <v>0</v>
      </c>
      <c r="T54" s="225">
        <f t="shared" si="13"/>
        <v>0</v>
      </c>
      <c r="U54" s="225"/>
      <c r="V54" s="225"/>
      <c r="W54" s="225">
        <v>0</v>
      </c>
      <c r="X54" s="225"/>
      <c r="Y54" s="225"/>
      <c r="Z54" s="225"/>
      <c r="AA54" s="249"/>
      <c r="AB54" s="230">
        <f>'Giường BHYT'!I51</f>
        <v>0</v>
      </c>
      <c r="AC54" s="231">
        <f>Q54-AB54</f>
        <v>0</v>
      </c>
    </row>
    <row r="55" spans="1:29" ht="30.75" customHeight="1" x14ac:dyDescent="0.25">
      <c r="A55" s="251" t="s">
        <v>83</v>
      </c>
      <c r="B55" s="243"/>
      <c r="C55" s="243"/>
      <c r="D55" s="243"/>
      <c r="E55" s="243"/>
      <c r="F55" s="224" t="s">
        <v>99</v>
      </c>
      <c r="G55" s="243"/>
      <c r="H55" s="244"/>
      <c r="I55" s="244"/>
      <c r="J55" s="225">
        <f>'Giường BHYT'!D52+'Giường BHYT'!C52</f>
        <v>68625</v>
      </c>
      <c r="K55" s="244"/>
      <c r="L55" s="225">
        <f>'Giường TT22 BYT'!F20</f>
        <v>225200</v>
      </c>
      <c r="M55" s="225">
        <f t="shared" si="7"/>
        <v>225200</v>
      </c>
      <c r="N55" s="225">
        <f t="shared" si="10"/>
        <v>225248.47826086957</v>
      </c>
      <c r="O55" s="228">
        <f>'Giường BHYT'!E52</f>
        <v>156623.47826086957</v>
      </c>
      <c r="P55" s="225">
        <f t="shared" si="8"/>
        <v>68625</v>
      </c>
      <c r="Q55" s="225">
        <f t="shared" si="9"/>
        <v>272200</v>
      </c>
      <c r="R55" s="225">
        <f t="shared" si="11"/>
        <v>272235.52173913049</v>
      </c>
      <c r="S55" s="225">
        <f t="shared" si="12"/>
        <v>203610.52173913046</v>
      </c>
      <c r="T55" s="225">
        <f t="shared" si="13"/>
        <v>68625</v>
      </c>
      <c r="U55" s="225"/>
      <c r="V55" s="225"/>
      <c r="W55" s="225">
        <v>400400</v>
      </c>
      <c r="X55" s="225"/>
      <c r="Y55" s="225"/>
      <c r="Z55" s="225"/>
      <c r="AA55" s="249"/>
      <c r="AB55" s="230">
        <f>'Giường BHYT'!I52</f>
        <v>272200</v>
      </c>
      <c r="AC55" s="231">
        <f>Q55-AB55</f>
        <v>0</v>
      </c>
    </row>
    <row r="56" spans="1:29" ht="31.5" x14ac:dyDescent="0.25">
      <c r="A56" s="251" t="s">
        <v>85</v>
      </c>
      <c r="B56" s="243"/>
      <c r="C56" s="243"/>
      <c r="D56" s="243"/>
      <c r="E56" s="243"/>
      <c r="F56" s="224" t="s">
        <v>100</v>
      </c>
      <c r="G56" s="243"/>
      <c r="H56" s="244"/>
      <c r="I56" s="244"/>
      <c r="J56" s="225">
        <f>'Giường BHYT'!D53+'Giường BHYT'!C53</f>
        <v>60387</v>
      </c>
      <c r="K56" s="244"/>
      <c r="L56" s="225">
        <f>'Giường TT22 BYT'!F22</f>
        <v>199600</v>
      </c>
      <c r="M56" s="225">
        <f t="shared" si="7"/>
        <v>199600</v>
      </c>
      <c r="N56" s="225">
        <f t="shared" si="10"/>
        <v>199608.39130434781</v>
      </c>
      <c r="O56" s="228">
        <f>'Giường BHYT'!E53</f>
        <v>139221.39130434781</v>
      </c>
      <c r="P56" s="225">
        <f t="shared" si="8"/>
        <v>60387</v>
      </c>
      <c r="Q56" s="225">
        <f t="shared" si="9"/>
        <v>241300</v>
      </c>
      <c r="R56" s="225">
        <f t="shared" si="11"/>
        <v>241374.80869565214</v>
      </c>
      <c r="S56" s="225">
        <f t="shared" si="12"/>
        <v>180987.80869565214</v>
      </c>
      <c r="T56" s="225">
        <f t="shared" si="13"/>
        <v>60387</v>
      </c>
      <c r="U56" s="225"/>
      <c r="V56" s="225"/>
      <c r="W56" s="225">
        <v>364400</v>
      </c>
      <c r="X56" s="225"/>
      <c r="Y56" s="225"/>
      <c r="Z56" s="225"/>
      <c r="AA56" s="249"/>
      <c r="AB56" s="230">
        <f>'Giường BHYT'!I53</f>
        <v>241300</v>
      </c>
      <c r="AC56" s="231">
        <f>Q56-AB56</f>
        <v>0</v>
      </c>
    </row>
    <row r="57" spans="1:29" ht="33.75" customHeight="1" x14ac:dyDescent="0.25">
      <c r="A57" s="251" t="s">
        <v>87</v>
      </c>
      <c r="B57" s="243"/>
      <c r="C57" s="243"/>
      <c r="D57" s="243"/>
      <c r="E57" s="243"/>
      <c r="F57" s="224" t="s">
        <v>101</v>
      </c>
      <c r="G57" s="243"/>
      <c r="H57" s="244"/>
      <c r="I57" s="244"/>
      <c r="J57" s="225">
        <f>'Giường BHYT'!D54+'Giường BHYT'!C54</f>
        <v>54431</v>
      </c>
      <c r="K57" s="244"/>
      <c r="L57" s="225">
        <f>'Giường TT22 BYT'!F24</f>
        <v>168100</v>
      </c>
      <c r="M57" s="225">
        <f t="shared" si="7"/>
        <v>168100</v>
      </c>
      <c r="N57" s="225">
        <f t="shared" si="10"/>
        <v>168194.13043478259</v>
      </c>
      <c r="O57" s="228">
        <f>'Giường BHYT'!E54</f>
        <v>113763.13043478261</v>
      </c>
      <c r="P57" s="225">
        <f t="shared" si="8"/>
        <v>54431</v>
      </c>
      <c r="Q57" s="225">
        <f t="shared" si="9"/>
        <v>202300</v>
      </c>
      <c r="R57" s="225">
        <f t="shared" si="11"/>
        <v>202323.06956521739</v>
      </c>
      <c r="S57" s="225">
        <f t="shared" si="12"/>
        <v>147892.06956521739</v>
      </c>
      <c r="T57" s="225">
        <f t="shared" si="13"/>
        <v>54431</v>
      </c>
      <c r="U57" s="225"/>
      <c r="V57" s="225"/>
      <c r="W57" s="225">
        <v>320700</v>
      </c>
      <c r="X57" s="225"/>
      <c r="Y57" s="225"/>
      <c r="Z57" s="225"/>
      <c r="AA57" s="249"/>
      <c r="AB57" s="230">
        <f>'Giường BHYT'!I54</f>
        <v>202300</v>
      </c>
      <c r="AC57" s="231">
        <f>Q57-AB57</f>
        <v>0</v>
      </c>
    </row>
    <row r="58" spans="1:29" s="221" customFormat="1" ht="24.6" hidden="1" customHeight="1" x14ac:dyDescent="0.25">
      <c r="A58" s="277" t="s">
        <v>120</v>
      </c>
      <c r="B58" s="237"/>
      <c r="C58" s="237"/>
      <c r="D58" s="237"/>
      <c r="E58" s="237"/>
      <c r="F58" s="222" t="s">
        <v>104</v>
      </c>
      <c r="G58" s="243"/>
      <c r="H58" s="244"/>
      <c r="I58" s="244"/>
      <c r="J58" s="225">
        <f>'Giường BHYT'!D55+'Giường BHYT'!C55</f>
        <v>0</v>
      </c>
      <c r="K58" s="244"/>
      <c r="L58" s="225">
        <f>'Giường TT22 BYT'!F23</f>
        <v>0</v>
      </c>
      <c r="M58" s="225">
        <f t="shared" si="7"/>
        <v>0</v>
      </c>
      <c r="N58" s="225">
        <f t="shared" si="10"/>
        <v>0</v>
      </c>
      <c r="O58" s="228">
        <f>'Giường BHYT'!E55</f>
        <v>0</v>
      </c>
      <c r="P58" s="225">
        <f t="shared" si="8"/>
        <v>0</v>
      </c>
      <c r="Q58" s="225">
        <f t="shared" si="9"/>
        <v>0</v>
      </c>
      <c r="R58" s="225">
        <f t="shared" si="11"/>
        <v>0</v>
      </c>
      <c r="S58" s="225">
        <f t="shared" si="12"/>
        <v>0</v>
      </c>
      <c r="T58" s="225">
        <f t="shared" si="13"/>
        <v>0</v>
      </c>
      <c r="U58" s="225"/>
      <c r="V58" s="225"/>
      <c r="W58" s="225">
        <v>286700</v>
      </c>
      <c r="X58" s="225"/>
      <c r="Y58" s="225"/>
      <c r="Z58" s="225"/>
      <c r="AA58" s="249"/>
      <c r="AB58" s="230">
        <f>'Giường BHYT'!I55</f>
        <v>0</v>
      </c>
      <c r="AC58" s="231">
        <f>Q58-AB58</f>
        <v>0</v>
      </c>
    </row>
    <row r="59" spans="1:29" hidden="1" x14ac:dyDescent="0.25">
      <c r="A59" s="251">
        <v>1</v>
      </c>
      <c r="B59" s="243"/>
      <c r="C59" s="243"/>
      <c r="D59" s="243"/>
      <c r="E59" s="243"/>
      <c r="F59" s="224" t="s">
        <v>94</v>
      </c>
      <c r="G59" s="243"/>
      <c r="H59" s="244"/>
      <c r="I59" s="244"/>
      <c r="J59" s="225">
        <f>'Giường BHYT'!D56+'Giường BHYT'!C56</f>
        <v>0</v>
      </c>
      <c r="K59" s="244"/>
      <c r="L59" s="225"/>
      <c r="M59" s="225">
        <f t="shared" si="7"/>
        <v>0</v>
      </c>
      <c r="N59" s="225">
        <f t="shared" si="10"/>
        <v>0</v>
      </c>
      <c r="O59" s="228">
        <f>'Giường BHYT'!E56</f>
        <v>0</v>
      </c>
      <c r="P59" s="225">
        <f t="shared" si="8"/>
        <v>0</v>
      </c>
      <c r="Q59" s="225">
        <f t="shared" si="9"/>
        <v>0</v>
      </c>
      <c r="R59" s="225">
        <f t="shared" si="11"/>
        <v>0</v>
      </c>
      <c r="S59" s="225">
        <f t="shared" si="12"/>
        <v>0</v>
      </c>
      <c r="T59" s="225">
        <f t="shared" si="13"/>
        <v>0</v>
      </c>
      <c r="U59" s="225"/>
      <c r="V59" s="225"/>
      <c r="W59" s="225"/>
      <c r="X59" s="225"/>
      <c r="Y59" s="225"/>
      <c r="Z59" s="225"/>
      <c r="AA59" s="249"/>
      <c r="AB59" s="230">
        <f>'Giường BHYT'!I56</f>
        <v>0</v>
      </c>
      <c r="AC59" s="231">
        <f>Q59-AB59</f>
        <v>0</v>
      </c>
    </row>
    <row r="60" spans="1:29" hidden="1" x14ac:dyDescent="0.25">
      <c r="A60" s="251">
        <v>2</v>
      </c>
      <c r="B60" s="243"/>
      <c r="C60" s="243"/>
      <c r="D60" s="243"/>
      <c r="E60" s="243"/>
      <c r="F60" s="224" t="s">
        <v>71</v>
      </c>
      <c r="G60" s="243"/>
      <c r="H60" s="244"/>
      <c r="I60" s="244"/>
      <c r="J60" s="225">
        <f>'Giường BHYT'!D57+'Giường BHYT'!C57</f>
        <v>117999</v>
      </c>
      <c r="K60" s="244"/>
      <c r="L60" s="225">
        <f>'Giường TT22 BYT'!G10</f>
        <v>279400</v>
      </c>
      <c r="M60" s="225">
        <f t="shared" si="7"/>
        <v>279400</v>
      </c>
      <c r="N60" s="225">
        <f t="shared" si="10"/>
        <v>279469.95652173914</v>
      </c>
      <c r="O60" s="228">
        <f>'Giường BHYT'!E57</f>
        <v>161470.95652173914</v>
      </c>
      <c r="P60" s="225">
        <f t="shared" si="8"/>
        <v>117999</v>
      </c>
      <c r="Q60" s="225">
        <f t="shared" si="9"/>
        <v>327900</v>
      </c>
      <c r="R60" s="225">
        <f t="shared" si="11"/>
        <v>327911.24347826088</v>
      </c>
      <c r="S60" s="225">
        <f t="shared" si="12"/>
        <v>209912.24347826088</v>
      </c>
      <c r="T60" s="225">
        <f t="shared" si="13"/>
        <v>117999</v>
      </c>
      <c r="U60" s="225"/>
      <c r="V60" s="225"/>
      <c r="W60" s="225">
        <v>928100</v>
      </c>
      <c r="X60" s="225"/>
      <c r="Y60" s="225"/>
      <c r="Z60" s="225"/>
      <c r="AA60" s="249"/>
      <c r="AB60" s="230">
        <f>'Giường BHYT'!I57</f>
        <v>327900</v>
      </c>
      <c r="AC60" s="231">
        <f>Q60-AB60</f>
        <v>0</v>
      </c>
    </row>
    <row r="61" spans="1:29" hidden="1" x14ac:dyDescent="0.25">
      <c r="A61" s="251">
        <v>3</v>
      </c>
      <c r="B61" s="243"/>
      <c r="C61" s="243"/>
      <c r="D61" s="243"/>
      <c r="E61" s="243"/>
      <c r="F61" s="224" t="s">
        <v>72</v>
      </c>
      <c r="G61" s="243"/>
      <c r="H61" s="244"/>
      <c r="I61" s="244"/>
      <c r="J61" s="225">
        <f>'Giường BHYT'!D58+'Giường BHYT'!C58</f>
        <v>0</v>
      </c>
      <c r="K61" s="244"/>
      <c r="L61" s="225">
        <f>'Giường TT22 BYT'!G11</f>
        <v>0</v>
      </c>
      <c r="M61" s="225">
        <f t="shared" si="7"/>
        <v>0</v>
      </c>
      <c r="N61" s="225">
        <f t="shared" si="10"/>
        <v>0</v>
      </c>
      <c r="O61" s="228">
        <f>'Giường BHYT'!E58</f>
        <v>0</v>
      </c>
      <c r="P61" s="225">
        <f t="shared" si="8"/>
        <v>0</v>
      </c>
      <c r="Q61" s="225">
        <f t="shared" si="9"/>
        <v>0</v>
      </c>
      <c r="R61" s="225">
        <f t="shared" si="11"/>
        <v>0</v>
      </c>
      <c r="S61" s="225">
        <f t="shared" si="12"/>
        <v>0</v>
      </c>
      <c r="T61" s="225">
        <f t="shared" si="13"/>
        <v>0</v>
      </c>
      <c r="U61" s="225"/>
      <c r="V61" s="225"/>
      <c r="W61" s="225">
        <v>558600</v>
      </c>
      <c r="X61" s="225"/>
      <c r="Y61" s="225"/>
      <c r="Z61" s="225"/>
      <c r="AA61" s="249"/>
      <c r="AB61" s="230">
        <f>'Giường BHYT'!I58</f>
        <v>0</v>
      </c>
      <c r="AC61" s="231">
        <f>Q61-AB61</f>
        <v>0</v>
      </c>
    </row>
    <row r="62" spans="1:29" ht="47.25" hidden="1" x14ac:dyDescent="0.25">
      <c r="A62" s="251" t="s">
        <v>73</v>
      </c>
      <c r="B62" s="243"/>
      <c r="C62" s="243"/>
      <c r="D62" s="243"/>
      <c r="E62" s="243"/>
      <c r="F62" s="224" t="s">
        <v>279</v>
      </c>
      <c r="G62" s="243"/>
      <c r="H62" s="244"/>
      <c r="I62" s="244"/>
      <c r="J62" s="225">
        <f>'Giường BHYT'!D59+'Giường BHYT'!C59</f>
        <v>36302</v>
      </c>
      <c r="K62" s="244"/>
      <c r="L62" s="225">
        <f>'Giường TT22 BYT'!G12</f>
        <v>176900</v>
      </c>
      <c r="M62" s="225">
        <f t="shared" si="7"/>
        <v>176900</v>
      </c>
      <c r="N62" s="225">
        <f t="shared" si="10"/>
        <v>176960.26086956522</v>
      </c>
      <c r="O62" s="228">
        <f>'Giường BHYT'!E59</f>
        <v>140658.26086956522</v>
      </c>
      <c r="P62" s="225">
        <f t="shared" si="8"/>
        <v>36302</v>
      </c>
      <c r="Q62" s="225">
        <f t="shared" si="9"/>
        <v>219100</v>
      </c>
      <c r="R62" s="225">
        <f t="shared" si="11"/>
        <v>219157.73913043478</v>
      </c>
      <c r="S62" s="225">
        <f t="shared" si="12"/>
        <v>182855.73913043478</v>
      </c>
      <c r="T62" s="225">
        <f t="shared" si="13"/>
        <v>36302</v>
      </c>
      <c r="U62" s="225"/>
      <c r="V62" s="225"/>
      <c r="W62" s="225">
        <v>0</v>
      </c>
      <c r="X62" s="225"/>
      <c r="Y62" s="225"/>
      <c r="Z62" s="225"/>
      <c r="AA62" s="249"/>
      <c r="AB62" s="230">
        <f>'Giường BHYT'!I59</f>
        <v>219100</v>
      </c>
      <c r="AC62" s="231">
        <f>Q62-AB62</f>
        <v>0</v>
      </c>
    </row>
    <row r="63" spans="1:29" ht="47.25" hidden="1" x14ac:dyDescent="0.25">
      <c r="A63" s="251" t="s">
        <v>76</v>
      </c>
      <c r="B63" s="243"/>
      <c r="C63" s="243"/>
      <c r="D63" s="243"/>
      <c r="E63" s="243"/>
      <c r="F63" s="224" t="s">
        <v>96</v>
      </c>
      <c r="G63" s="243"/>
      <c r="H63" s="244"/>
      <c r="I63" s="244"/>
      <c r="J63" s="225">
        <f>'Giường BHYT'!D60+'Giường BHYT'!C60</f>
        <v>35684</v>
      </c>
      <c r="K63" s="244"/>
      <c r="L63" s="225">
        <f>'Giường TT22 BYT'!G14</f>
        <v>152800</v>
      </c>
      <c r="M63" s="225">
        <f t="shared" si="7"/>
        <v>152800</v>
      </c>
      <c r="N63" s="225">
        <f t="shared" si="10"/>
        <v>152899</v>
      </c>
      <c r="O63" s="228">
        <f>'Giường BHYT'!E60</f>
        <v>117215</v>
      </c>
      <c r="P63" s="225">
        <f t="shared" si="8"/>
        <v>35684</v>
      </c>
      <c r="Q63" s="225">
        <f t="shared" si="9"/>
        <v>188000</v>
      </c>
      <c r="R63" s="225">
        <f t="shared" si="11"/>
        <v>188063.5</v>
      </c>
      <c r="S63" s="225">
        <f t="shared" si="12"/>
        <v>152379.5</v>
      </c>
      <c r="T63" s="225">
        <f t="shared" si="13"/>
        <v>35684</v>
      </c>
      <c r="U63" s="225"/>
      <c r="V63" s="225"/>
      <c r="W63" s="225">
        <v>305500</v>
      </c>
      <c r="X63" s="225"/>
      <c r="Y63" s="225"/>
      <c r="Z63" s="225"/>
      <c r="AA63" s="249"/>
      <c r="AB63" s="230">
        <f>'Giường BHYT'!I60</f>
        <v>188000</v>
      </c>
      <c r="AC63" s="231">
        <f>Q63-AB63</f>
        <v>0</v>
      </c>
    </row>
    <row r="64" spans="1:29" hidden="1" x14ac:dyDescent="0.25">
      <c r="A64" s="251" t="s">
        <v>78</v>
      </c>
      <c r="B64" s="243"/>
      <c r="C64" s="243"/>
      <c r="D64" s="243"/>
      <c r="E64" s="243"/>
      <c r="F64" s="224" t="s">
        <v>93</v>
      </c>
      <c r="G64" s="243"/>
      <c r="H64" s="244"/>
      <c r="I64" s="244"/>
      <c r="J64" s="225">
        <f>'Giường BHYT'!D61+'Giường BHYT'!C61</f>
        <v>34447</v>
      </c>
      <c r="K64" s="244"/>
      <c r="L64" s="225">
        <f>'Giường TT22 BYT'!G16</f>
        <v>128200</v>
      </c>
      <c r="M64" s="225">
        <f t="shared" si="7"/>
        <v>128200</v>
      </c>
      <c r="N64" s="225">
        <f t="shared" si="10"/>
        <v>128219.17391304349</v>
      </c>
      <c r="O64" s="228">
        <f>'Giường BHYT'!E61</f>
        <v>93772.173913043487</v>
      </c>
      <c r="P64" s="225">
        <f t="shared" si="8"/>
        <v>34447</v>
      </c>
      <c r="Q64" s="225">
        <f t="shared" si="9"/>
        <v>156300</v>
      </c>
      <c r="R64" s="225">
        <f t="shared" si="11"/>
        <v>156350.82608695654</v>
      </c>
      <c r="S64" s="225">
        <f t="shared" si="12"/>
        <v>121903.82608695653</v>
      </c>
      <c r="T64" s="225">
        <f t="shared" si="13"/>
        <v>34447</v>
      </c>
      <c r="U64" s="225"/>
      <c r="V64" s="225"/>
      <c r="W64" s="225">
        <v>273800</v>
      </c>
      <c r="X64" s="225"/>
      <c r="Y64" s="225"/>
      <c r="Z64" s="225"/>
      <c r="AA64" s="249"/>
      <c r="AB64" s="230">
        <f>'Giường BHYT'!I61</f>
        <v>156300</v>
      </c>
      <c r="AC64" s="231">
        <f>Q64-AB64</f>
        <v>0</v>
      </c>
    </row>
    <row r="65" spans="1:29" hidden="1" x14ac:dyDescent="0.25">
      <c r="A65" s="251">
        <v>4</v>
      </c>
      <c r="B65" s="243"/>
      <c r="C65" s="243"/>
      <c r="D65" s="243"/>
      <c r="E65" s="243"/>
      <c r="F65" s="224" t="s">
        <v>97</v>
      </c>
      <c r="G65" s="243"/>
      <c r="H65" s="244"/>
      <c r="I65" s="244"/>
      <c r="J65" s="225">
        <f>'Giường BHYT'!D62+'Giường BHYT'!C62</f>
        <v>0</v>
      </c>
      <c r="K65" s="244"/>
      <c r="L65" s="225">
        <f>'Giường TT22 BYT'!G15</f>
        <v>0</v>
      </c>
      <c r="M65" s="225">
        <f t="shared" si="7"/>
        <v>0</v>
      </c>
      <c r="N65" s="225">
        <f t="shared" si="10"/>
        <v>0</v>
      </c>
      <c r="O65" s="228">
        <f>'Giường BHYT'!E62</f>
        <v>0</v>
      </c>
      <c r="P65" s="225">
        <f t="shared" si="8"/>
        <v>0</v>
      </c>
      <c r="Q65" s="225">
        <f t="shared" si="9"/>
        <v>0</v>
      </c>
      <c r="R65" s="225">
        <f t="shared" si="11"/>
        <v>0</v>
      </c>
      <c r="S65" s="225">
        <f t="shared" si="12"/>
        <v>0</v>
      </c>
      <c r="T65" s="225">
        <f t="shared" si="13"/>
        <v>0</v>
      </c>
      <c r="U65" s="225"/>
      <c r="V65" s="225"/>
      <c r="W65" s="225">
        <v>232900</v>
      </c>
      <c r="X65" s="225"/>
      <c r="Y65" s="225"/>
      <c r="Z65" s="225"/>
      <c r="AA65" s="249"/>
      <c r="AB65" s="230">
        <f>'Giường BHYT'!I62</f>
        <v>0</v>
      </c>
      <c r="AC65" s="231">
        <f>Q65-AB65</f>
        <v>0</v>
      </c>
    </row>
    <row r="66" spans="1:29" hidden="1" x14ac:dyDescent="0.25">
      <c r="A66" s="251" t="s">
        <v>81</v>
      </c>
      <c r="B66" s="243"/>
      <c r="C66" s="243"/>
      <c r="D66" s="243"/>
      <c r="E66" s="243"/>
      <c r="F66" s="224" t="s">
        <v>98</v>
      </c>
      <c r="G66" s="243"/>
      <c r="H66" s="244"/>
      <c r="I66" s="244"/>
      <c r="J66" s="225">
        <f>'Giường BHYT'!D63+'Giường BHYT'!C63</f>
        <v>0</v>
      </c>
      <c r="K66" s="244"/>
      <c r="L66" s="225"/>
      <c r="M66" s="225">
        <f t="shared" si="7"/>
        <v>0</v>
      </c>
      <c r="N66" s="225">
        <f t="shared" si="10"/>
        <v>0</v>
      </c>
      <c r="O66" s="228">
        <f>'Giường BHYT'!E63</f>
        <v>0</v>
      </c>
      <c r="P66" s="225">
        <f t="shared" si="8"/>
        <v>0</v>
      </c>
      <c r="Q66" s="225">
        <f t="shared" si="9"/>
        <v>0</v>
      </c>
      <c r="R66" s="225">
        <f t="shared" si="11"/>
        <v>0</v>
      </c>
      <c r="S66" s="225">
        <f t="shared" si="12"/>
        <v>0</v>
      </c>
      <c r="T66" s="225">
        <f t="shared" si="13"/>
        <v>0</v>
      </c>
      <c r="U66" s="225"/>
      <c r="V66" s="225"/>
      <c r="W66" s="225">
        <v>0</v>
      </c>
      <c r="X66" s="225"/>
      <c r="Y66" s="225"/>
      <c r="Z66" s="225"/>
      <c r="AA66" s="249"/>
      <c r="AB66" s="230">
        <f>'Giường BHYT'!I63</f>
        <v>0</v>
      </c>
      <c r="AC66" s="231">
        <f>Q66-AB66</f>
        <v>0</v>
      </c>
    </row>
    <row r="67" spans="1:29" hidden="1" x14ac:dyDescent="0.25">
      <c r="A67" s="251" t="s">
        <v>83</v>
      </c>
      <c r="B67" s="243"/>
      <c r="C67" s="243"/>
      <c r="D67" s="243"/>
      <c r="E67" s="243"/>
      <c r="F67" s="224" t="s">
        <v>99</v>
      </c>
      <c r="G67" s="243"/>
      <c r="H67" s="244"/>
      <c r="I67" s="244"/>
      <c r="J67" s="225">
        <f>'Giường BHYT'!D64+'Giường BHYT'!C64</f>
        <v>54919</v>
      </c>
      <c r="K67" s="244"/>
      <c r="L67" s="225">
        <f>'Giường TT22 BYT'!G20</f>
        <v>204000</v>
      </c>
      <c r="M67" s="225">
        <f t="shared" si="7"/>
        <v>204000</v>
      </c>
      <c r="N67" s="225">
        <f t="shared" si="10"/>
        <v>204048.21739130435</v>
      </c>
      <c r="O67" s="228">
        <f>'Giường BHYT'!E64</f>
        <v>149129.21739130435</v>
      </c>
      <c r="P67" s="225">
        <f t="shared" si="8"/>
        <v>54919</v>
      </c>
      <c r="Q67" s="225">
        <f t="shared" si="9"/>
        <v>248700</v>
      </c>
      <c r="R67" s="225">
        <f t="shared" si="11"/>
        <v>248786.98260869566</v>
      </c>
      <c r="S67" s="225">
        <f t="shared" si="12"/>
        <v>193867.98260869566</v>
      </c>
      <c r="T67" s="225">
        <f t="shared" si="13"/>
        <v>54919</v>
      </c>
      <c r="U67" s="225"/>
      <c r="V67" s="225"/>
      <c r="W67" s="225">
        <v>400400</v>
      </c>
      <c r="X67" s="225"/>
      <c r="Y67" s="225"/>
      <c r="Z67" s="225"/>
      <c r="AA67" s="249"/>
      <c r="AB67" s="230">
        <f>'Giường BHYT'!I64</f>
        <v>248700</v>
      </c>
      <c r="AC67" s="231">
        <f>Q67-AB67</f>
        <v>0</v>
      </c>
    </row>
    <row r="68" spans="1:29" ht="31.5" hidden="1" x14ac:dyDescent="0.25">
      <c r="A68" s="251" t="s">
        <v>85</v>
      </c>
      <c r="B68" s="243"/>
      <c r="C68" s="243"/>
      <c r="D68" s="243"/>
      <c r="E68" s="243"/>
      <c r="F68" s="224" t="s">
        <v>100</v>
      </c>
      <c r="G68" s="243"/>
      <c r="H68" s="244"/>
      <c r="I68" s="244"/>
      <c r="J68" s="225">
        <f>'Giường BHYT'!D65+'Giường BHYT'!C65</f>
        <v>49716</v>
      </c>
      <c r="K68" s="244"/>
      <c r="L68" s="225">
        <f>'Giường TT22 BYT'!G22</f>
        <v>177200</v>
      </c>
      <c r="M68" s="225">
        <f t="shared" si="7"/>
        <v>177200</v>
      </c>
      <c r="N68" s="225">
        <f t="shared" si="10"/>
        <v>177268</v>
      </c>
      <c r="O68" s="228">
        <f>'Giường BHYT'!E65</f>
        <v>127552</v>
      </c>
      <c r="P68" s="225">
        <f t="shared" si="8"/>
        <v>49716</v>
      </c>
      <c r="Q68" s="225">
        <f t="shared" si="9"/>
        <v>215500</v>
      </c>
      <c r="R68" s="225">
        <f t="shared" si="11"/>
        <v>215533.6</v>
      </c>
      <c r="S68" s="225">
        <f t="shared" si="12"/>
        <v>165817.60000000001</v>
      </c>
      <c r="T68" s="225">
        <f t="shared" si="13"/>
        <v>49716</v>
      </c>
      <c r="U68" s="225"/>
      <c r="V68" s="225"/>
      <c r="W68" s="225">
        <v>364400</v>
      </c>
      <c r="X68" s="225"/>
      <c r="Y68" s="225"/>
      <c r="Z68" s="225"/>
      <c r="AA68" s="249"/>
      <c r="AB68" s="230">
        <f>'Giường BHYT'!I65</f>
        <v>215500</v>
      </c>
      <c r="AC68" s="231">
        <f>Q68-AB68</f>
        <v>0</v>
      </c>
    </row>
    <row r="69" spans="1:29" hidden="1" x14ac:dyDescent="0.25">
      <c r="A69" s="251" t="s">
        <v>87</v>
      </c>
      <c r="B69" s="243"/>
      <c r="C69" s="243"/>
      <c r="D69" s="243"/>
      <c r="E69" s="243"/>
      <c r="F69" s="224" t="s">
        <v>101</v>
      </c>
      <c r="G69" s="243"/>
      <c r="H69" s="244"/>
      <c r="I69" s="244"/>
      <c r="J69" s="225">
        <f>'Giường BHYT'!D66+'Giường BHYT'!C66</f>
        <v>46656</v>
      </c>
      <c r="K69" s="244"/>
      <c r="L69" s="225">
        <f>'Giường TT22 BYT'!G24</f>
        <v>153100</v>
      </c>
      <c r="M69" s="225">
        <f t="shared" si="7"/>
        <v>153100</v>
      </c>
      <c r="N69" s="225">
        <f t="shared" si="10"/>
        <v>153109</v>
      </c>
      <c r="O69" s="228">
        <f>'Giường BHYT'!E66</f>
        <v>106453</v>
      </c>
      <c r="P69" s="225">
        <f t="shared" si="8"/>
        <v>46656</v>
      </c>
      <c r="Q69" s="225">
        <f t="shared" si="9"/>
        <v>185000</v>
      </c>
      <c r="R69" s="225">
        <f t="shared" si="11"/>
        <v>185044.9</v>
      </c>
      <c r="S69" s="225">
        <f t="shared" si="12"/>
        <v>138388.9</v>
      </c>
      <c r="T69" s="225">
        <f t="shared" si="13"/>
        <v>46656</v>
      </c>
      <c r="U69" s="225"/>
      <c r="V69" s="225"/>
      <c r="W69" s="225">
        <v>320700</v>
      </c>
      <c r="X69" s="225"/>
      <c r="Y69" s="225"/>
      <c r="Z69" s="225"/>
      <c r="AA69" s="249"/>
      <c r="AB69" s="230">
        <f>'Giường BHYT'!I66</f>
        <v>185000</v>
      </c>
      <c r="AC69" s="231">
        <f>Q69-AB69</f>
        <v>0</v>
      </c>
    </row>
    <row r="70" spans="1:29" s="247" customFormat="1" ht="141" customHeight="1" x14ac:dyDescent="0.2">
      <c r="A70" s="41" t="s">
        <v>22</v>
      </c>
      <c r="B70" s="283" t="s">
        <v>89</v>
      </c>
      <c r="C70" s="243"/>
      <c r="D70" s="243"/>
      <c r="E70" s="243"/>
      <c r="F70" s="224" t="s">
        <v>288</v>
      </c>
      <c r="G70" s="243"/>
      <c r="H70" s="244"/>
      <c r="I70" s="244"/>
      <c r="J70" s="244"/>
      <c r="K70" s="244"/>
      <c r="L70" s="244">
        <v>64100</v>
      </c>
      <c r="M70" s="225">
        <f t="shared" si="7"/>
        <v>64100</v>
      </c>
      <c r="N70" s="244">
        <f>N64*50%</f>
        <v>64109.586956521744</v>
      </c>
      <c r="O70" s="244"/>
      <c r="P70" s="244"/>
      <c r="Q70" s="244">
        <f t="shared" si="9"/>
        <v>78100</v>
      </c>
      <c r="R70" s="244">
        <f>R64*50%</f>
        <v>78175.413043478271</v>
      </c>
      <c r="S70" s="244"/>
      <c r="T70" s="244"/>
      <c r="U70" s="244"/>
      <c r="V70" s="244"/>
      <c r="W70" s="225">
        <v>286700</v>
      </c>
      <c r="X70" s="244"/>
      <c r="Y70" s="244"/>
      <c r="Z70" s="244"/>
      <c r="AA70" s="250"/>
      <c r="AB70" s="245">
        <f>'Giường BHYT'!I67</f>
        <v>0</v>
      </c>
      <c r="AC70" s="246">
        <f>Q70-AB70</f>
        <v>78100</v>
      </c>
    </row>
    <row r="71" spans="1:29" ht="86.25" customHeight="1" x14ac:dyDescent="0.25">
      <c r="A71" s="31" t="s">
        <v>120</v>
      </c>
      <c r="B71" s="42" t="s">
        <v>90</v>
      </c>
      <c r="C71" s="237"/>
      <c r="D71" s="237"/>
      <c r="E71" s="237"/>
      <c r="F71" s="249" t="s">
        <v>289</v>
      </c>
      <c r="G71" s="311" t="s">
        <v>126</v>
      </c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251"/>
      <c r="V71" s="251"/>
      <c r="W71" s="330" t="s">
        <v>126</v>
      </c>
      <c r="X71" s="331"/>
      <c r="Y71" s="332"/>
      <c r="Z71" s="280" t="s">
        <v>126</v>
      </c>
      <c r="AA71" s="249"/>
      <c r="AB71" s="230"/>
      <c r="AC71" s="231">
        <f>Q71-AB71</f>
        <v>0</v>
      </c>
    </row>
    <row r="72" spans="1:29" s="221" customFormat="1" ht="29.25" customHeight="1" x14ac:dyDescent="0.25">
      <c r="A72" s="282"/>
      <c r="B72" s="281"/>
      <c r="C72" s="281"/>
      <c r="D72" s="281"/>
      <c r="E72" s="281"/>
      <c r="F72" s="281" t="s">
        <v>245</v>
      </c>
      <c r="G72" s="281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79"/>
      <c r="S72" s="279"/>
      <c r="T72" s="279"/>
      <c r="U72" s="279"/>
      <c r="V72" s="279"/>
      <c r="W72" s="279"/>
      <c r="X72" s="279"/>
      <c r="Y72" s="279"/>
      <c r="Z72" s="279"/>
    </row>
  </sheetData>
  <mergeCells count="35">
    <mergeCell ref="AA35:AA45"/>
    <mergeCell ref="W71:Y71"/>
    <mergeCell ref="V7:V8"/>
    <mergeCell ref="A2:AA2"/>
    <mergeCell ref="A3:AA3"/>
    <mergeCell ref="A4:AA4"/>
    <mergeCell ref="T5:AA5"/>
    <mergeCell ref="A6:A8"/>
    <mergeCell ref="B6:B8"/>
    <mergeCell ref="C6:C8"/>
    <mergeCell ref="D6:D8"/>
    <mergeCell ref="E6:E8"/>
    <mergeCell ref="F6:F8"/>
    <mergeCell ref="G6:J6"/>
    <mergeCell ref="L6:P6"/>
    <mergeCell ref="W7:W8"/>
    <mergeCell ref="AB7:AB8"/>
    <mergeCell ref="N7:N8"/>
    <mergeCell ref="O7:O8"/>
    <mergeCell ref="P7:P8"/>
    <mergeCell ref="U7:U8"/>
    <mergeCell ref="AA6:AA8"/>
    <mergeCell ref="X7:X8"/>
    <mergeCell ref="Y7:Y8"/>
    <mergeCell ref="U6:Z6"/>
    <mergeCell ref="Z7:Z8"/>
    <mergeCell ref="Q6:T8"/>
    <mergeCell ref="I7:I8"/>
    <mergeCell ref="G71:T71"/>
    <mergeCell ref="J7:J8"/>
    <mergeCell ref="K7:K8"/>
    <mergeCell ref="L7:L8"/>
    <mergeCell ref="M7:M8"/>
    <mergeCell ref="H7:H8"/>
    <mergeCell ref="G7:G8"/>
  </mergeCells>
  <pageMargins left="0.74" right="0.27559055118110237" top="0.46" bottom="0.56000000000000005" header="0.45" footer="0.3937007874015748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topLeftCell="A22" workbookViewId="0">
      <selection activeCell="A27" sqref="A27"/>
    </sheetView>
  </sheetViews>
  <sheetFormatPr defaultRowHeight="14.25" x14ac:dyDescent="0.2"/>
  <cols>
    <col min="1" max="1" width="6.375" customWidth="1"/>
    <col min="2" max="2" width="34.125" customWidth="1"/>
    <col min="3" max="7" width="11.25" customWidth="1"/>
    <col min="257" max="257" width="6.375" customWidth="1"/>
    <col min="258" max="258" width="29.125" customWidth="1"/>
    <col min="259" max="263" width="11.25" customWidth="1"/>
    <col min="513" max="513" width="6.375" customWidth="1"/>
    <col min="514" max="514" width="29.125" customWidth="1"/>
    <col min="515" max="519" width="11.25" customWidth="1"/>
    <col min="769" max="769" width="6.375" customWidth="1"/>
    <col min="770" max="770" width="29.125" customWidth="1"/>
    <col min="771" max="775" width="11.25" customWidth="1"/>
    <col min="1025" max="1025" width="6.375" customWidth="1"/>
    <col min="1026" max="1026" width="29.125" customWidth="1"/>
    <col min="1027" max="1031" width="11.25" customWidth="1"/>
    <col min="1281" max="1281" width="6.375" customWidth="1"/>
    <col min="1282" max="1282" width="29.125" customWidth="1"/>
    <col min="1283" max="1287" width="11.25" customWidth="1"/>
    <col min="1537" max="1537" width="6.375" customWidth="1"/>
    <col min="1538" max="1538" width="29.125" customWidth="1"/>
    <col min="1539" max="1543" width="11.25" customWidth="1"/>
    <col min="1793" max="1793" width="6.375" customWidth="1"/>
    <col min="1794" max="1794" width="29.125" customWidth="1"/>
    <col min="1795" max="1799" width="11.25" customWidth="1"/>
    <col min="2049" max="2049" width="6.375" customWidth="1"/>
    <col min="2050" max="2050" width="29.125" customWidth="1"/>
    <col min="2051" max="2055" width="11.25" customWidth="1"/>
    <col min="2305" max="2305" width="6.375" customWidth="1"/>
    <col min="2306" max="2306" width="29.125" customWidth="1"/>
    <col min="2307" max="2311" width="11.25" customWidth="1"/>
    <col min="2561" max="2561" width="6.375" customWidth="1"/>
    <col min="2562" max="2562" width="29.125" customWidth="1"/>
    <col min="2563" max="2567" width="11.25" customWidth="1"/>
    <col min="2817" max="2817" width="6.375" customWidth="1"/>
    <col min="2818" max="2818" width="29.125" customWidth="1"/>
    <col min="2819" max="2823" width="11.25" customWidth="1"/>
    <col min="3073" max="3073" width="6.375" customWidth="1"/>
    <col min="3074" max="3074" width="29.125" customWidth="1"/>
    <col min="3075" max="3079" width="11.25" customWidth="1"/>
    <col min="3329" max="3329" width="6.375" customWidth="1"/>
    <col min="3330" max="3330" width="29.125" customWidth="1"/>
    <col min="3331" max="3335" width="11.25" customWidth="1"/>
    <col min="3585" max="3585" width="6.375" customWidth="1"/>
    <col min="3586" max="3586" width="29.125" customWidth="1"/>
    <col min="3587" max="3591" width="11.25" customWidth="1"/>
    <col min="3841" max="3841" width="6.375" customWidth="1"/>
    <col min="3842" max="3842" width="29.125" customWidth="1"/>
    <col min="3843" max="3847" width="11.25" customWidth="1"/>
    <col min="4097" max="4097" width="6.375" customWidth="1"/>
    <col min="4098" max="4098" width="29.125" customWidth="1"/>
    <col min="4099" max="4103" width="11.25" customWidth="1"/>
    <col min="4353" max="4353" width="6.375" customWidth="1"/>
    <col min="4354" max="4354" width="29.125" customWidth="1"/>
    <col min="4355" max="4359" width="11.25" customWidth="1"/>
    <col min="4609" max="4609" width="6.375" customWidth="1"/>
    <col min="4610" max="4610" width="29.125" customWidth="1"/>
    <col min="4611" max="4615" width="11.25" customWidth="1"/>
    <col min="4865" max="4865" width="6.375" customWidth="1"/>
    <col min="4866" max="4866" width="29.125" customWidth="1"/>
    <col min="4867" max="4871" width="11.25" customWidth="1"/>
    <col min="5121" max="5121" width="6.375" customWidth="1"/>
    <col min="5122" max="5122" width="29.125" customWidth="1"/>
    <col min="5123" max="5127" width="11.25" customWidth="1"/>
    <col min="5377" max="5377" width="6.375" customWidth="1"/>
    <col min="5378" max="5378" width="29.125" customWidth="1"/>
    <col min="5379" max="5383" width="11.25" customWidth="1"/>
    <col min="5633" max="5633" width="6.375" customWidth="1"/>
    <col min="5634" max="5634" width="29.125" customWidth="1"/>
    <col min="5635" max="5639" width="11.25" customWidth="1"/>
    <col min="5889" max="5889" width="6.375" customWidth="1"/>
    <col min="5890" max="5890" width="29.125" customWidth="1"/>
    <col min="5891" max="5895" width="11.25" customWidth="1"/>
    <col min="6145" max="6145" width="6.375" customWidth="1"/>
    <col min="6146" max="6146" width="29.125" customWidth="1"/>
    <col min="6147" max="6151" width="11.25" customWidth="1"/>
    <col min="6401" max="6401" width="6.375" customWidth="1"/>
    <col min="6402" max="6402" width="29.125" customWidth="1"/>
    <col min="6403" max="6407" width="11.25" customWidth="1"/>
    <col min="6657" max="6657" width="6.375" customWidth="1"/>
    <col min="6658" max="6658" width="29.125" customWidth="1"/>
    <col min="6659" max="6663" width="11.25" customWidth="1"/>
    <col min="6913" max="6913" width="6.375" customWidth="1"/>
    <col min="6914" max="6914" width="29.125" customWidth="1"/>
    <col min="6915" max="6919" width="11.25" customWidth="1"/>
    <col min="7169" max="7169" width="6.375" customWidth="1"/>
    <col min="7170" max="7170" width="29.125" customWidth="1"/>
    <col min="7171" max="7175" width="11.25" customWidth="1"/>
    <col min="7425" max="7425" width="6.375" customWidth="1"/>
    <col min="7426" max="7426" width="29.125" customWidth="1"/>
    <col min="7427" max="7431" width="11.25" customWidth="1"/>
    <col min="7681" max="7681" width="6.375" customWidth="1"/>
    <col min="7682" max="7682" width="29.125" customWidth="1"/>
    <col min="7683" max="7687" width="11.25" customWidth="1"/>
    <col min="7937" max="7937" width="6.375" customWidth="1"/>
    <col min="7938" max="7938" width="29.125" customWidth="1"/>
    <col min="7939" max="7943" width="11.25" customWidth="1"/>
    <col min="8193" max="8193" width="6.375" customWidth="1"/>
    <col min="8194" max="8194" width="29.125" customWidth="1"/>
    <col min="8195" max="8199" width="11.25" customWidth="1"/>
    <col min="8449" max="8449" width="6.375" customWidth="1"/>
    <col min="8450" max="8450" width="29.125" customWidth="1"/>
    <col min="8451" max="8455" width="11.25" customWidth="1"/>
    <col min="8705" max="8705" width="6.375" customWidth="1"/>
    <col min="8706" max="8706" width="29.125" customWidth="1"/>
    <col min="8707" max="8711" width="11.25" customWidth="1"/>
    <col min="8961" max="8961" width="6.375" customWidth="1"/>
    <col min="8962" max="8962" width="29.125" customWidth="1"/>
    <col min="8963" max="8967" width="11.25" customWidth="1"/>
    <col min="9217" max="9217" width="6.375" customWidth="1"/>
    <col min="9218" max="9218" width="29.125" customWidth="1"/>
    <col min="9219" max="9223" width="11.25" customWidth="1"/>
    <col min="9473" max="9473" width="6.375" customWidth="1"/>
    <col min="9474" max="9474" width="29.125" customWidth="1"/>
    <col min="9475" max="9479" width="11.25" customWidth="1"/>
    <col min="9729" max="9729" width="6.375" customWidth="1"/>
    <col min="9730" max="9730" width="29.125" customWidth="1"/>
    <col min="9731" max="9735" width="11.25" customWidth="1"/>
    <col min="9985" max="9985" width="6.375" customWidth="1"/>
    <col min="9986" max="9986" width="29.125" customWidth="1"/>
    <col min="9987" max="9991" width="11.25" customWidth="1"/>
    <col min="10241" max="10241" width="6.375" customWidth="1"/>
    <col min="10242" max="10242" width="29.125" customWidth="1"/>
    <col min="10243" max="10247" width="11.25" customWidth="1"/>
    <col min="10497" max="10497" width="6.375" customWidth="1"/>
    <col min="10498" max="10498" width="29.125" customWidth="1"/>
    <col min="10499" max="10503" width="11.25" customWidth="1"/>
    <col min="10753" max="10753" width="6.375" customWidth="1"/>
    <col min="10754" max="10754" width="29.125" customWidth="1"/>
    <col min="10755" max="10759" width="11.25" customWidth="1"/>
    <col min="11009" max="11009" width="6.375" customWidth="1"/>
    <col min="11010" max="11010" width="29.125" customWidth="1"/>
    <col min="11011" max="11015" width="11.25" customWidth="1"/>
    <col min="11265" max="11265" width="6.375" customWidth="1"/>
    <col min="11266" max="11266" width="29.125" customWidth="1"/>
    <col min="11267" max="11271" width="11.25" customWidth="1"/>
    <col min="11521" max="11521" width="6.375" customWidth="1"/>
    <col min="11522" max="11522" width="29.125" customWidth="1"/>
    <col min="11523" max="11527" width="11.25" customWidth="1"/>
    <col min="11777" max="11777" width="6.375" customWidth="1"/>
    <col min="11778" max="11778" width="29.125" customWidth="1"/>
    <col min="11779" max="11783" width="11.25" customWidth="1"/>
    <col min="12033" max="12033" width="6.375" customWidth="1"/>
    <col min="12034" max="12034" width="29.125" customWidth="1"/>
    <col min="12035" max="12039" width="11.25" customWidth="1"/>
    <col min="12289" max="12289" width="6.375" customWidth="1"/>
    <col min="12290" max="12290" width="29.125" customWidth="1"/>
    <col min="12291" max="12295" width="11.25" customWidth="1"/>
    <col min="12545" max="12545" width="6.375" customWidth="1"/>
    <col min="12546" max="12546" width="29.125" customWidth="1"/>
    <col min="12547" max="12551" width="11.25" customWidth="1"/>
    <col min="12801" max="12801" width="6.375" customWidth="1"/>
    <col min="12802" max="12802" width="29.125" customWidth="1"/>
    <col min="12803" max="12807" width="11.25" customWidth="1"/>
    <col min="13057" max="13057" width="6.375" customWidth="1"/>
    <col min="13058" max="13058" width="29.125" customWidth="1"/>
    <col min="13059" max="13063" width="11.25" customWidth="1"/>
    <col min="13313" max="13313" width="6.375" customWidth="1"/>
    <col min="13314" max="13314" width="29.125" customWidth="1"/>
    <col min="13315" max="13319" width="11.25" customWidth="1"/>
    <col min="13569" max="13569" width="6.375" customWidth="1"/>
    <col min="13570" max="13570" width="29.125" customWidth="1"/>
    <col min="13571" max="13575" width="11.25" customWidth="1"/>
    <col min="13825" max="13825" width="6.375" customWidth="1"/>
    <col min="13826" max="13826" width="29.125" customWidth="1"/>
    <col min="13827" max="13831" width="11.25" customWidth="1"/>
    <col min="14081" max="14081" width="6.375" customWidth="1"/>
    <col min="14082" max="14082" width="29.125" customWidth="1"/>
    <col min="14083" max="14087" width="11.25" customWidth="1"/>
    <col min="14337" max="14337" width="6.375" customWidth="1"/>
    <col min="14338" max="14338" width="29.125" customWidth="1"/>
    <col min="14339" max="14343" width="11.25" customWidth="1"/>
    <col min="14593" max="14593" width="6.375" customWidth="1"/>
    <col min="14594" max="14594" width="29.125" customWidth="1"/>
    <col min="14595" max="14599" width="11.25" customWidth="1"/>
    <col min="14849" max="14849" width="6.375" customWidth="1"/>
    <col min="14850" max="14850" width="29.125" customWidth="1"/>
    <col min="14851" max="14855" width="11.25" customWidth="1"/>
    <col min="15105" max="15105" width="6.375" customWidth="1"/>
    <col min="15106" max="15106" width="29.125" customWidth="1"/>
    <col min="15107" max="15111" width="11.25" customWidth="1"/>
    <col min="15361" max="15361" width="6.375" customWidth="1"/>
    <col min="15362" max="15362" width="29.125" customWidth="1"/>
    <col min="15363" max="15367" width="11.25" customWidth="1"/>
    <col min="15617" max="15617" width="6.375" customWidth="1"/>
    <col min="15618" max="15618" width="29.125" customWidth="1"/>
    <col min="15619" max="15623" width="11.25" customWidth="1"/>
    <col min="15873" max="15873" width="6.375" customWidth="1"/>
    <col min="15874" max="15874" width="29.125" customWidth="1"/>
    <col min="15875" max="15879" width="11.25" customWidth="1"/>
    <col min="16129" max="16129" width="6.375" customWidth="1"/>
    <col min="16130" max="16130" width="29.125" customWidth="1"/>
    <col min="16131" max="16135" width="11.25" customWidth="1"/>
  </cols>
  <sheetData>
    <row r="1" spans="1:7" ht="18.75" x14ac:dyDescent="0.3">
      <c r="A1" s="28"/>
      <c r="B1" s="23" t="s">
        <v>66</v>
      </c>
      <c r="C1" s="29"/>
      <c r="D1" s="29"/>
      <c r="E1" s="29"/>
      <c r="F1" s="29"/>
      <c r="G1" s="97" t="s">
        <v>67</v>
      </c>
    </row>
    <row r="2" spans="1:7" ht="18.75" x14ac:dyDescent="0.3">
      <c r="A2" s="28"/>
      <c r="B2" s="29"/>
      <c r="C2" s="29"/>
      <c r="D2" s="29"/>
      <c r="E2" s="29"/>
      <c r="F2" s="29"/>
      <c r="G2" s="29"/>
    </row>
    <row r="3" spans="1:7" ht="18.75" x14ac:dyDescent="0.3">
      <c r="A3" s="339" t="s">
        <v>68</v>
      </c>
      <c r="B3" s="339"/>
      <c r="C3" s="339"/>
      <c r="D3" s="339"/>
      <c r="E3" s="339"/>
      <c r="F3" s="339"/>
      <c r="G3" s="339"/>
    </row>
    <row r="4" spans="1:7" ht="18.75" x14ac:dyDescent="0.3">
      <c r="A4" s="340" t="s">
        <v>124</v>
      </c>
      <c r="B4" s="340"/>
      <c r="C4" s="340"/>
      <c r="D4" s="340"/>
      <c r="E4" s="340"/>
      <c r="F4" s="340"/>
      <c r="G4" s="340"/>
    </row>
    <row r="5" spans="1:7" ht="18.75" x14ac:dyDescent="0.3">
      <c r="A5" s="340"/>
      <c r="B5" s="340"/>
      <c r="C5" s="29"/>
      <c r="D5" s="29"/>
      <c r="E5" s="29"/>
      <c r="F5" s="29"/>
      <c r="G5" s="29"/>
    </row>
    <row r="6" spans="1:7" ht="20.25" x14ac:dyDescent="0.3">
      <c r="A6" s="24"/>
      <c r="B6" s="24"/>
      <c r="C6" s="30"/>
      <c r="D6" s="30"/>
      <c r="E6" s="30"/>
      <c r="F6" s="341"/>
      <c r="G6" s="341"/>
    </row>
    <row r="7" spans="1:7" ht="49.5" x14ac:dyDescent="0.2">
      <c r="A7" s="31" t="s">
        <v>0</v>
      </c>
      <c r="B7" s="32" t="s">
        <v>69</v>
      </c>
      <c r="C7" s="27" t="s">
        <v>125</v>
      </c>
      <c r="D7" s="27" t="s">
        <v>41</v>
      </c>
      <c r="E7" s="27" t="s">
        <v>42</v>
      </c>
      <c r="F7" s="27" t="s">
        <v>43</v>
      </c>
      <c r="G7" s="27" t="s">
        <v>44</v>
      </c>
    </row>
    <row r="8" spans="1:7" x14ac:dyDescent="0.2">
      <c r="A8" s="33" t="s">
        <v>7</v>
      </c>
      <c r="B8" s="33" t="s">
        <v>8</v>
      </c>
      <c r="C8" s="98">
        <v>1</v>
      </c>
      <c r="D8" s="98">
        <v>2</v>
      </c>
      <c r="E8" s="98">
        <v>3</v>
      </c>
      <c r="F8" s="98">
        <v>4</v>
      </c>
      <c r="G8" s="98">
        <v>5</v>
      </c>
    </row>
    <row r="9" spans="1:7" ht="49.5" x14ac:dyDescent="0.2">
      <c r="A9" s="34">
        <v>1</v>
      </c>
      <c r="B9" s="35" t="s">
        <v>70</v>
      </c>
      <c r="C9" s="99">
        <v>867500</v>
      </c>
      <c r="D9" s="99">
        <v>786300</v>
      </c>
      <c r="E9" s="99">
        <v>673900</v>
      </c>
      <c r="F9" s="99"/>
      <c r="G9" s="99"/>
    </row>
    <row r="10" spans="1:7" ht="18.75" x14ac:dyDescent="0.2">
      <c r="A10" s="34">
        <v>2</v>
      </c>
      <c r="B10" s="35" t="s">
        <v>71</v>
      </c>
      <c r="C10" s="99">
        <v>509400</v>
      </c>
      <c r="D10" s="99">
        <v>474700</v>
      </c>
      <c r="E10" s="100">
        <v>359200</v>
      </c>
      <c r="F10" s="101">
        <v>312200</v>
      </c>
      <c r="G10" s="99">
        <v>279400</v>
      </c>
    </row>
    <row r="11" spans="1:7" ht="18.75" x14ac:dyDescent="0.2">
      <c r="A11" s="34">
        <v>3</v>
      </c>
      <c r="B11" s="36" t="s">
        <v>72</v>
      </c>
      <c r="C11" s="99"/>
      <c r="D11" s="99"/>
      <c r="E11" s="99"/>
      <c r="F11" s="99"/>
      <c r="G11" s="99"/>
    </row>
    <row r="12" spans="1:7" ht="99" x14ac:dyDescent="0.2">
      <c r="A12" s="37" t="s">
        <v>73</v>
      </c>
      <c r="B12" s="36" t="s">
        <v>74</v>
      </c>
      <c r="C12" s="99">
        <v>273100</v>
      </c>
      <c r="D12" s="99">
        <v>255300</v>
      </c>
      <c r="E12" s="99">
        <v>212600</v>
      </c>
      <c r="F12" s="99">
        <v>198000</v>
      </c>
      <c r="G12" s="99">
        <v>176900</v>
      </c>
    </row>
    <row r="13" spans="1:7" ht="49.5" x14ac:dyDescent="0.2">
      <c r="A13" s="37"/>
      <c r="B13" s="35" t="s">
        <v>75</v>
      </c>
      <c r="C13" s="99"/>
      <c r="D13" s="99">
        <f>C12</f>
        <v>273100</v>
      </c>
      <c r="E13" s="99"/>
      <c r="F13" s="99"/>
      <c r="G13" s="99"/>
    </row>
    <row r="14" spans="1:7" ht="117.6" customHeight="1" x14ac:dyDescent="0.2">
      <c r="A14" s="38" t="s">
        <v>76</v>
      </c>
      <c r="B14" s="36" t="s">
        <v>77</v>
      </c>
      <c r="C14" s="99">
        <v>247200</v>
      </c>
      <c r="D14" s="99">
        <v>229200</v>
      </c>
      <c r="E14" s="100">
        <v>182700</v>
      </c>
      <c r="F14" s="101">
        <v>171600</v>
      </c>
      <c r="G14" s="99">
        <v>152800</v>
      </c>
    </row>
    <row r="15" spans="1:7" ht="49.5" x14ac:dyDescent="0.2">
      <c r="A15" s="38"/>
      <c r="B15" s="35" t="s">
        <v>75</v>
      </c>
      <c r="C15" s="99"/>
      <c r="D15" s="99">
        <f>C14</f>
        <v>247200</v>
      </c>
      <c r="E15" s="99"/>
      <c r="F15" s="99"/>
      <c r="G15" s="99"/>
    </row>
    <row r="16" spans="1:7" ht="33" x14ac:dyDescent="0.2">
      <c r="A16" s="102" t="s">
        <v>78</v>
      </c>
      <c r="B16" s="103" t="s">
        <v>79</v>
      </c>
      <c r="C16" s="100">
        <v>209200</v>
      </c>
      <c r="D16" s="100">
        <v>193800</v>
      </c>
      <c r="E16" s="100">
        <v>147600</v>
      </c>
      <c r="F16" s="101">
        <v>138600</v>
      </c>
      <c r="G16" s="100">
        <v>128200</v>
      </c>
    </row>
    <row r="17" spans="1:7" ht="33" x14ac:dyDescent="0.2">
      <c r="A17" s="34">
        <v>4</v>
      </c>
      <c r="B17" s="36" t="s">
        <v>80</v>
      </c>
      <c r="C17" s="99"/>
      <c r="D17" s="99"/>
      <c r="E17" s="99"/>
      <c r="F17" s="99"/>
      <c r="G17" s="99"/>
    </row>
    <row r="18" spans="1:7" ht="49.5" x14ac:dyDescent="0.2">
      <c r="A18" s="38" t="s">
        <v>81</v>
      </c>
      <c r="B18" s="36" t="s">
        <v>82</v>
      </c>
      <c r="C18" s="99">
        <v>374500</v>
      </c>
      <c r="D18" s="99">
        <v>339000</v>
      </c>
      <c r="E18" s="99">
        <v>287500</v>
      </c>
      <c r="F18" s="99"/>
      <c r="G18" s="99"/>
    </row>
    <row r="19" spans="1:7" ht="49.5" x14ac:dyDescent="0.2">
      <c r="A19" s="38"/>
      <c r="B19" s="35" t="s">
        <v>75</v>
      </c>
      <c r="C19" s="99"/>
      <c r="D19" s="99">
        <f>C18</f>
        <v>374500</v>
      </c>
      <c r="E19" s="99"/>
      <c r="F19" s="99"/>
      <c r="G19" s="99"/>
    </row>
    <row r="20" spans="1:7" ht="49.5" x14ac:dyDescent="0.2">
      <c r="A20" s="37" t="s">
        <v>83</v>
      </c>
      <c r="B20" s="36" t="s">
        <v>84</v>
      </c>
      <c r="C20" s="99">
        <v>334800</v>
      </c>
      <c r="D20" s="99">
        <v>308500</v>
      </c>
      <c r="E20" s="99">
        <v>252100</v>
      </c>
      <c r="F20" s="99">
        <v>225200</v>
      </c>
      <c r="G20" s="99">
        <v>204000</v>
      </c>
    </row>
    <row r="21" spans="1:7" ht="49.5" x14ac:dyDescent="0.2">
      <c r="A21" s="37"/>
      <c r="B21" s="35" t="s">
        <v>75</v>
      </c>
      <c r="C21" s="99"/>
      <c r="D21" s="99">
        <f>C20</f>
        <v>334800</v>
      </c>
      <c r="E21" s="99"/>
      <c r="F21" s="99"/>
      <c r="G21" s="99"/>
    </row>
    <row r="22" spans="1:7" ht="66" x14ac:dyDescent="0.2">
      <c r="A22" s="38" t="s">
        <v>85</v>
      </c>
      <c r="B22" s="36" t="s">
        <v>86</v>
      </c>
      <c r="C22" s="99">
        <v>291900</v>
      </c>
      <c r="D22" s="99">
        <v>270500</v>
      </c>
      <c r="E22" s="99">
        <v>224700</v>
      </c>
      <c r="F22" s="99">
        <v>199600</v>
      </c>
      <c r="G22" s="99">
        <v>177200</v>
      </c>
    </row>
    <row r="23" spans="1:7" ht="49.5" x14ac:dyDescent="0.2">
      <c r="A23" s="38"/>
      <c r="B23" s="35" t="s">
        <v>75</v>
      </c>
      <c r="C23" s="99"/>
      <c r="D23" s="99">
        <f>C22</f>
        <v>291900</v>
      </c>
      <c r="E23" s="99"/>
      <c r="F23" s="99"/>
      <c r="G23" s="99"/>
    </row>
    <row r="24" spans="1:7" ht="49.5" x14ac:dyDescent="0.2">
      <c r="A24" s="39" t="s">
        <v>87</v>
      </c>
      <c r="B24" s="40" t="s">
        <v>88</v>
      </c>
      <c r="C24" s="99">
        <v>262300</v>
      </c>
      <c r="D24" s="99">
        <v>242100</v>
      </c>
      <c r="E24" s="100">
        <v>192100</v>
      </c>
      <c r="F24" s="101">
        <v>168100</v>
      </c>
      <c r="G24" s="99">
        <v>153100</v>
      </c>
    </row>
    <row r="25" spans="1:7" ht="18.75" x14ac:dyDescent="0.2">
      <c r="A25" s="41">
        <v>5</v>
      </c>
      <c r="B25" s="42" t="s">
        <v>89</v>
      </c>
      <c r="C25" s="342">
        <f>G16/2</f>
        <v>64100</v>
      </c>
      <c r="D25" s="342"/>
      <c r="E25" s="342"/>
      <c r="F25" s="342"/>
      <c r="G25" s="342"/>
    </row>
    <row r="26" spans="1:7" ht="18.75" x14ac:dyDescent="0.2">
      <c r="A26" s="31">
        <v>6</v>
      </c>
      <c r="B26" s="42" t="s">
        <v>90</v>
      </c>
      <c r="C26" s="338" t="s">
        <v>126</v>
      </c>
      <c r="D26" s="338"/>
      <c r="E26" s="338"/>
      <c r="F26" s="338"/>
      <c r="G26" s="338"/>
    </row>
    <row r="27" spans="1:7" ht="18.75" x14ac:dyDescent="0.3">
      <c r="A27" s="43" t="s">
        <v>91</v>
      </c>
      <c r="B27" s="44"/>
      <c r="C27" s="44"/>
      <c r="D27" s="44"/>
      <c r="E27" s="44"/>
      <c r="F27" s="44"/>
      <c r="G27" s="44"/>
    </row>
  </sheetData>
  <mergeCells count="6">
    <mergeCell ref="C26:G26"/>
    <mergeCell ref="A3:G3"/>
    <mergeCell ref="A4:G4"/>
    <mergeCell ref="A5:B5"/>
    <mergeCell ref="F6:G6"/>
    <mergeCell ref="C25:G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topLeftCell="A4" workbookViewId="0">
      <selection activeCell="H10" sqref="H10"/>
    </sheetView>
  </sheetViews>
  <sheetFormatPr defaultColWidth="11.125" defaultRowHeight="12.75" x14ac:dyDescent="0.2"/>
  <cols>
    <col min="1" max="1" width="9.875" style="174" customWidth="1"/>
    <col min="2" max="2" width="37.875" style="174" customWidth="1"/>
    <col min="3" max="3" width="8.75" style="174" customWidth="1"/>
    <col min="4" max="4" width="10.75" style="174" customWidth="1"/>
    <col min="5" max="5" width="17.25" style="174" customWidth="1"/>
    <col min="6" max="6" width="12.75" style="212" customWidth="1"/>
    <col min="7" max="8" width="14.375" style="212" customWidth="1"/>
    <col min="9" max="9" width="11.875" style="174" customWidth="1"/>
    <col min="10" max="255" width="11.125" style="174"/>
    <col min="256" max="256" width="9.875" style="174" customWidth="1"/>
    <col min="257" max="257" width="37.875" style="174" customWidth="1"/>
    <col min="258" max="258" width="8.75" style="174" customWidth="1"/>
    <col min="259" max="259" width="10.75" style="174" customWidth="1"/>
    <col min="260" max="262" width="12.75" style="174" customWidth="1"/>
    <col min="263" max="264" width="14.375" style="174" customWidth="1"/>
    <col min="265" max="265" width="11.875" style="174" customWidth="1"/>
    <col min="266" max="511" width="11.125" style="174"/>
    <col min="512" max="512" width="9.875" style="174" customWidth="1"/>
    <col min="513" max="513" width="37.875" style="174" customWidth="1"/>
    <col min="514" max="514" width="8.75" style="174" customWidth="1"/>
    <col min="515" max="515" width="10.75" style="174" customWidth="1"/>
    <col min="516" max="518" width="12.75" style="174" customWidth="1"/>
    <col min="519" max="520" width="14.375" style="174" customWidth="1"/>
    <col min="521" max="521" width="11.875" style="174" customWidth="1"/>
    <col min="522" max="767" width="11.125" style="174"/>
    <col min="768" max="768" width="9.875" style="174" customWidth="1"/>
    <col min="769" max="769" width="37.875" style="174" customWidth="1"/>
    <col min="770" max="770" width="8.75" style="174" customWidth="1"/>
    <col min="771" max="771" width="10.75" style="174" customWidth="1"/>
    <col min="772" max="774" width="12.75" style="174" customWidth="1"/>
    <col min="775" max="776" width="14.375" style="174" customWidth="1"/>
    <col min="777" max="777" width="11.875" style="174" customWidth="1"/>
    <col min="778" max="1023" width="11.125" style="174"/>
    <col min="1024" max="1024" width="9.875" style="174" customWidth="1"/>
    <col min="1025" max="1025" width="37.875" style="174" customWidth="1"/>
    <col min="1026" max="1026" width="8.75" style="174" customWidth="1"/>
    <col min="1027" max="1027" width="10.75" style="174" customWidth="1"/>
    <col min="1028" max="1030" width="12.75" style="174" customWidth="1"/>
    <col min="1031" max="1032" width="14.375" style="174" customWidth="1"/>
    <col min="1033" max="1033" width="11.875" style="174" customWidth="1"/>
    <col min="1034" max="1279" width="11.125" style="174"/>
    <col min="1280" max="1280" width="9.875" style="174" customWidth="1"/>
    <col min="1281" max="1281" width="37.875" style="174" customWidth="1"/>
    <col min="1282" max="1282" width="8.75" style="174" customWidth="1"/>
    <col min="1283" max="1283" width="10.75" style="174" customWidth="1"/>
    <col min="1284" max="1286" width="12.75" style="174" customWidth="1"/>
    <col min="1287" max="1288" width="14.375" style="174" customWidth="1"/>
    <col min="1289" max="1289" width="11.875" style="174" customWidth="1"/>
    <col min="1290" max="1535" width="11.125" style="174"/>
    <col min="1536" max="1536" width="9.875" style="174" customWidth="1"/>
    <col min="1537" max="1537" width="37.875" style="174" customWidth="1"/>
    <col min="1538" max="1538" width="8.75" style="174" customWidth="1"/>
    <col min="1539" max="1539" width="10.75" style="174" customWidth="1"/>
    <col min="1540" max="1542" width="12.75" style="174" customWidth="1"/>
    <col min="1543" max="1544" width="14.375" style="174" customWidth="1"/>
    <col min="1545" max="1545" width="11.875" style="174" customWidth="1"/>
    <col min="1546" max="1791" width="11.125" style="174"/>
    <col min="1792" max="1792" width="9.875" style="174" customWidth="1"/>
    <col min="1793" max="1793" width="37.875" style="174" customWidth="1"/>
    <col min="1794" max="1794" width="8.75" style="174" customWidth="1"/>
    <col min="1795" max="1795" width="10.75" style="174" customWidth="1"/>
    <col min="1796" max="1798" width="12.75" style="174" customWidth="1"/>
    <col min="1799" max="1800" width="14.375" style="174" customWidth="1"/>
    <col min="1801" max="1801" width="11.875" style="174" customWidth="1"/>
    <col min="1802" max="2047" width="11.125" style="174"/>
    <col min="2048" max="2048" width="9.875" style="174" customWidth="1"/>
    <col min="2049" max="2049" width="37.875" style="174" customWidth="1"/>
    <col min="2050" max="2050" width="8.75" style="174" customWidth="1"/>
    <col min="2051" max="2051" width="10.75" style="174" customWidth="1"/>
    <col min="2052" max="2054" width="12.75" style="174" customWidth="1"/>
    <col min="2055" max="2056" width="14.375" style="174" customWidth="1"/>
    <col min="2057" max="2057" width="11.875" style="174" customWidth="1"/>
    <col min="2058" max="2303" width="11.125" style="174"/>
    <col min="2304" max="2304" width="9.875" style="174" customWidth="1"/>
    <col min="2305" max="2305" width="37.875" style="174" customWidth="1"/>
    <col min="2306" max="2306" width="8.75" style="174" customWidth="1"/>
    <col min="2307" max="2307" width="10.75" style="174" customWidth="1"/>
    <col min="2308" max="2310" width="12.75" style="174" customWidth="1"/>
    <col min="2311" max="2312" width="14.375" style="174" customWidth="1"/>
    <col min="2313" max="2313" width="11.875" style="174" customWidth="1"/>
    <col min="2314" max="2559" width="11.125" style="174"/>
    <col min="2560" max="2560" width="9.875" style="174" customWidth="1"/>
    <col min="2561" max="2561" width="37.875" style="174" customWidth="1"/>
    <col min="2562" max="2562" width="8.75" style="174" customWidth="1"/>
    <col min="2563" max="2563" width="10.75" style="174" customWidth="1"/>
    <col min="2564" max="2566" width="12.75" style="174" customWidth="1"/>
    <col min="2567" max="2568" width="14.375" style="174" customWidth="1"/>
    <col min="2569" max="2569" width="11.875" style="174" customWidth="1"/>
    <col min="2570" max="2815" width="11.125" style="174"/>
    <col min="2816" max="2816" width="9.875" style="174" customWidth="1"/>
    <col min="2817" max="2817" width="37.875" style="174" customWidth="1"/>
    <col min="2818" max="2818" width="8.75" style="174" customWidth="1"/>
    <col min="2819" max="2819" width="10.75" style="174" customWidth="1"/>
    <col min="2820" max="2822" width="12.75" style="174" customWidth="1"/>
    <col min="2823" max="2824" width="14.375" style="174" customWidth="1"/>
    <col min="2825" max="2825" width="11.875" style="174" customWidth="1"/>
    <col min="2826" max="3071" width="11.125" style="174"/>
    <col min="3072" max="3072" width="9.875" style="174" customWidth="1"/>
    <col min="3073" max="3073" width="37.875" style="174" customWidth="1"/>
    <col min="3074" max="3074" width="8.75" style="174" customWidth="1"/>
    <col min="3075" max="3075" width="10.75" style="174" customWidth="1"/>
    <col min="3076" max="3078" width="12.75" style="174" customWidth="1"/>
    <col min="3079" max="3080" width="14.375" style="174" customWidth="1"/>
    <col min="3081" max="3081" width="11.875" style="174" customWidth="1"/>
    <col min="3082" max="3327" width="11.125" style="174"/>
    <col min="3328" max="3328" width="9.875" style="174" customWidth="1"/>
    <col min="3329" max="3329" width="37.875" style="174" customWidth="1"/>
    <col min="3330" max="3330" width="8.75" style="174" customWidth="1"/>
    <col min="3331" max="3331" width="10.75" style="174" customWidth="1"/>
    <col min="3332" max="3334" width="12.75" style="174" customWidth="1"/>
    <col min="3335" max="3336" width="14.375" style="174" customWidth="1"/>
    <col min="3337" max="3337" width="11.875" style="174" customWidth="1"/>
    <col min="3338" max="3583" width="11.125" style="174"/>
    <col min="3584" max="3584" width="9.875" style="174" customWidth="1"/>
    <col min="3585" max="3585" width="37.875" style="174" customWidth="1"/>
    <col min="3586" max="3586" width="8.75" style="174" customWidth="1"/>
    <col min="3587" max="3587" width="10.75" style="174" customWidth="1"/>
    <col min="3588" max="3590" width="12.75" style="174" customWidth="1"/>
    <col min="3591" max="3592" width="14.375" style="174" customWidth="1"/>
    <col min="3593" max="3593" width="11.875" style="174" customWidth="1"/>
    <col min="3594" max="3839" width="11.125" style="174"/>
    <col min="3840" max="3840" width="9.875" style="174" customWidth="1"/>
    <col min="3841" max="3841" width="37.875" style="174" customWidth="1"/>
    <col min="3842" max="3842" width="8.75" style="174" customWidth="1"/>
    <col min="3843" max="3843" width="10.75" style="174" customWidth="1"/>
    <col min="3844" max="3846" width="12.75" style="174" customWidth="1"/>
    <col min="3847" max="3848" width="14.375" style="174" customWidth="1"/>
    <col min="3849" max="3849" width="11.875" style="174" customWidth="1"/>
    <col min="3850" max="4095" width="11.125" style="174"/>
    <col min="4096" max="4096" width="9.875" style="174" customWidth="1"/>
    <col min="4097" max="4097" width="37.875" style="174" customWidth="1"/>
    <col min="4098" max="4098" width="8.75" style="174" customWidth="1"/>
    <col min="4099" max="4099" width="10.75" style="174" customWidth="1"/>
    <col min="4100" max="4102" width="12.75" style="174" customWidth="1"/>
    <col min="4103" max="4104" width="14.375" style="174" customWidth="1"/>
    <col min="4105" max="4105" width="11.875" style="174" customWidth="1"/>
    <col min="4106" max="4351" width="11.125" style="174"/>
    <col min="4352" max="4352" width="9.875" style="174" customWidth="1"/>
    <col min="4353" max="4353" width="37.875" style="174" customWidth="1"/>
    <col min="4354" max="4354" width="8.75" style="174" customWidth="1"/>
    <col min="4355" max="4355" width="10.75" style="174" customWidth="1"/>
    <col min="4356" max="4358" width="12.75" style="174" customWidth="1"/>
    <col min="4359" max="4360" width="14.375" style="174" customWidth="1"/>
    <col min="4361" max="4361" width="11.875" style="174" customWidth="1"/>
    <col min="4362" max="4607" width="11.125" style="174"/>
    <col min="4608" max="4608" width="9.875" style="174" customWidth="1"/>
    <col min="4609" max="4609" width="37.875" style="174" customWidth="1"/>
    <col min="4610" max="4610" width="8.75" style="174" customWidth="1"/>
    <col min="4611" max="4611" width="10.75" style="174" customWidth="1"/>
    <col min="4612" max="4614" width="12.75" style="174" customWidth="1"/>
    <col min="4615" max="4616" width="14.375" style="174" customWidth="1"/>
    <col min="4617" max="4617" width="11.875" style="174" customWidth="1"/>
    <col min="4618" max="4863" width="11.125" style="174"/>
    <col min="4864" max="4864" width="9.875" style="174" customWidth="1"/>
    <col min="4865" max="4865" width="37.875" style="174" customWidth="1"/>
    <col min="4866" max="4866" width="8.75" style="174" customWidth="1"/>
    <col min="4867" max="4867" width="10.75" style="174" customWidth="1"/>
    <col min="4868" max="4870" width="12.75" style="174" customWidth="1"/>
    <col min="4871" max="4872" width="14.375" style="174" customWidth="1"/>
    <col min="4873" max="4873" width="11.875" style="174" customWidth="1"/>
    <col min="4874" max="5119" width="11.125" style="174"/>
    <col min="5120" max="5120" width="9.875" style="174" customWidth="1"/>
    <col min="5121" max="5121" width="37.875" style="174" customWidth="1"/>
    <col min="5122" max="5122" width="8.75" style="174" customWidth="1"/>
    <col min="5123" max="5123" width="10.75" style="174" customWidth="1"/>
    <col min="5124" max="5126" width="12.75" style="174" customWidth="1"/>
    <col min="5127" max="5128" width="14.375" style="174" customWidth="1"/>
    <col min="5129" max="5129" width="11.875" style="174" customWidth="1"/>
    <col min="5130" max="5375" width="11.125" style="174"/>
    <col min="5376" max="5376" width="9.875" style="174" customWidth="1"/>
    <col min="5377" max="5377" width="37.875" style="174" customWidth="1"/>
    <col min="5378" max="5378" width="8.75" style="174" customWidth="1"/>
    <col min="5379" max="5379" width="10.75" style="174" customWidth="1"/>
    <col min="5380" max="5382" width="12.75" style="174" customWidth="1"/>
    <col min="5383" max="5384" width="14.375" style="174" customWidth="1"/>
    <col min="5385" max="5385" width="11.875" style="174" customWidth="1"/>
    <col min="5386" max="5631" width="11.125" style="174"/>
    <col min="5632" max="5632" width="9.875" style="174" customWidth="1"/>
    <col min="5633" max="5633" width="37.875" style="174" customWidth="1"/>
    <col min="5634" max="5634" width="8.75" style="174" customWidth="1"/>
    <col min="5635" max="5635" width="10.75" style="174" customWidth="1"/>
    <col min="5636" max="5638" width="12.75" style="174" customWidth="1"/>
    <col min="5639" max="5640" width="14.375" style="174" customWidth="1"/>
    <col min="5641" max="5641" width="11.875" style="174" customWidth="1"/>
    <col min="5642" max="5887" width="11.125" style="174"/>
    <col min="5888" max="5888" width="9.875" style="174" customWidth="1"/>
    <col min="5889" max="5889" width="37.875" style="174" customWidth="1"/>
    <col min="5890" max="5890" width="8.75" style="174" customWidth="1"/>
    <col min="5891" max="5891" width="10.75" style="174" customWidth="1"/>
    <col min="5892" max="5894" width="12.75" style="174" customWidth="1"/>
    <col min="5895" max="5896" width="14.375" style="174" customWidth="1"/>
    <col min="5897" max="5897" width="11.875" style="174" customWidth="1"/>
    <col min="5898" max="6143" width="11.125" style="174"/>
    <col min="6144" max="6144" width="9.875" style="174" customWidth="1"/>
    <col min="6145" max="6145" width="37.875" style="174" customWidth="1"/>
    <col min="6146" max="6146" width="8.75" style="174" customWidth="1"/>
    <col min="6147" max="6147" width="10.75" style="174" customWidth="1"/>
    <col min="6148" max="6150" width="12.75" style="174" customWidth="1"/>
    <col min="6151" max="6152" width="14.375" style="174" customWidth="1"/>
    <col min="6153" max="6153" width="11.875" style="174" customWidth="1"/>
    <col min="6154" max="6399" width="11.125" style="174"/>
    <col min="6400" max="6400" width="9.875" style="174" customWidth="1"/>
    <col min="6401" max="6401" width="37.875" style="174" customWidth="1"/>
    <col min="6402" max="6402" width="8.75" style="174" customWidth="1"/>
    <col min="6403" max="6403" width="10.75" style="174" customWidth="1"/>
    <col min="6404" max="6406" width="12.75" style="174" customWidth="1"/>
    <col min="6407" max="6408" width="14.375" style="174" customWidth="1"/>
    <col min="6409" max="6409" width="11.875" style="174" customWidth="1"/>
    <col min="6410" max="6655" width="11.125" style="174"/>
    <col min="6656" max="6656" width="9.875" style="174" customWidth="1"/>
    <col min="6657" max="6657" width="37.875" style="174" customWidth="1"/>
    <col min="6658" max="6658" width="8.75" style="174" customWidth="1"/>
    <col min="6659" max="6659" width="10.75" style="174" customWidth="1"/>
    <col min="6660" max="6662" width="12.75" style="174" customWidth="1"/>
    <col min="6663" max="6664" width="14.375" style="174" customWidth="1"/>
    <col min="6665" max="6665" width="11.875" style="174" customWidth="1"/>
    <col min="6666" max="6911" width="11.125" style="174"/>
    <col min="6912" max="6912" width="9.875" style="174" customWidth="1"/>
    <col min="6913" max="6913" width="37.875" style="174" customWidth="1"/>
    <col min="6914" max="6914" width="8.75" style="174" customWidth="1"/>
    <col min="6915" max="6915" width="10.75" style="174" customWidth="1"/>
    <col min="6916" max="6918" width="12.75" style="174" customWidth="1"/>
    <col min="6919" max="6920" width="14.375" style="174" customWidth="1"/>
    <col min="6921" max="6921" width="11.875" style="174" customWidth="1"/>
    <col min="6922" max="7167" width="11.125" style="174"/>
    <col min="7168" max="7168" width="9.875" style="174" customWidth="1"/>
    <col min="7169" max="7169" width="37.875" style="174" customWidth="1"/>
    <col min="7170" max="7170" width="8.75" style="174" customWidth="1"/>
    <col min="7171" max="7171" width="10.75" style="174" customWidth="1"/>
    <col min="7172" max="7174" width="12.75" style="174" customWidth="1"/>
    <col min="7175" max="7176" width="14.375" style="174" customWidth="1"/>
    <col min="7177" max="7177" width="11.875" style="174" customWidth="1"/>
    <col min="7178" max="7423" width="11.125" style="174"/>
    <col min="7424" max="7424" width="9.875" style="174" customWidth="1"/>
    <col min="7425" max="7425" width="37.875" style="174" customWidth="1"/>
    <col min="7426" max="7426" width="8.75" style="174" customWidth="1"/>
    <col min="7427" max="7427" width="10.75" style="174" customWidth="1"/>
    <col min="7428" max="7430" width="12.75" style="174" customWidth="1"/>
    <col min="7431" max="7432" width="14.375" style="174" customWidth="1"/>
    <col min="7433" max="7433" width="11.875" style="174" customWidth="1"/>
    <col min="7434" max="7679" width="11.125" style="174"/>
    <col min="7680" max="7680" width="9.875" style="174" customWidth="1"/>
    <col min="7681" max="7681" width="37.875" style="174" customWidth="1"/>
    <col min="7682" max="7682" width="8.75" style="174" customWidth="1"/>
    <col min="7683" max="7683" width="10.75" style="174" customWidth="1"/>
    <col min="7684" max="7686" width="12.75" style="174" customWidth="1"/>
    <col min="7687" max="7688" width="14.375" style="174" customWidth="1"/>
    <col min="7689" max="7689" width="11.875" style="174" customWidth="1"/>
    <col min="7690" max="7935" width="11.125" style="174"/>
    <col min="7936" max="7936" width="9.875" style="174" customWidth="1"/>
    <col min="7937" max="7937" width="37.875" style="174" customWidth="1"/>
    <col min="7938" max="7938" width="8.75" style="174" customWidth="1"/>
    <col min="7939" max="7939" width="10.75" style="174" customWidth="1"/>
    <col min="7940" max="7942" width="12.75" style="174" customWidth="1"/>
    <col min="7943" max="7944" width="14.375" style="174" customWidth="1"/>
    <col min="7945" max="7945" width="11.875" style="174" customWidth="1"/>
    <col min="7946" max="8191" width="11.125" style="174"/>
    <col min="8192" max="8192" width="9.875" style="174" customWidth="1"/>
    <col min="8193" max="8193" width="37.875" style="174" customWidth="1"/>
    <col min="8194" max="8194" width="8.75" style="174" customWidth="1"/>
    <col min="8195" max="8195" width="10.75" style="174" customWidth="1"/>
    <col min="8196" max="8198" width="12.75" style="174" customWidth="1"/>
    <col min="8199" max="8200" width="14.375" style="174" customWidth="1"/>
    <col min="8201" max="8201" width="11.875" style="174" customWidth="1"/>
    <col min="8202" max="8447" width="11.125" style="174"/>
    <col min="8448" max="8448" width="9.875" style="174" customWidth="1"/>
    <col min="8449" max="8449" width="37.875" style="174" customWidth="1"/>
    <col min="8450" max="8450" width="8.75" style="174" customWidth="1"/>
    <col min="8451" max="8451" width="10.75" style="174" customWidth="1"/>
    <col min="8452" max="8454" width="12.75" style="174" customWidth="1"/>
    <col min="8455" max="8456" width="14.375" style="174" customWidth="1"/>
    <col min="8457" max="8457" width="11.875" style="174" customWidth="1"/>
    <col min="8458" max="8703" width="11.125" style="174"/>
    <col min="8704" max="8704" width="9.875" style="174" customWidth="1"/>
    <col min="8705" max="8705" width="37.875" style="174" customWidth="1"/>
    <col min="8706" max="8706" width="8.75" style="174" customWidth="1"/>
    <col min="8707" max="8707" width="10.75" style="174" customWidth="1"/>
    <col min="8708" max="8710" width="12.75" style="174" customWidth="1"/>
    <col min="8711" max="8712" width="14.375" style="174" customWidth="1"/>
    <col min="8713" max="8713" width="11.875" style="174" customWidth="1"/>
    <col min="8714" max="8959" width="11.125" style="174"/>
    <col min="8960" max="8960" width="9.875" style="174" customWidth="1"/>
    <col min="8961" max="8961" width="37.875" style="174" customWidth="1"/>
    <col min="8962" max="8962" width="8.75" style="174" customWidth="1"/>
    <col min="8963" max="8963" width="10.75" style="174" customWidth="1"/>
    <col min="8964" max="8966" width="12.75" style="174" customWidth="1"/>
    <col min="8967" max="8968" width="14.375" style="174" customWidth="1"/>
    <col min="8969" max="8969" width="11.875" style="174" customWidth="1"/>
    <col min="8970" max="9215" width="11.125" style="174"/>
    <col min="9216" max="9216" width="9.875" style="174" customWidth="1"/>
    <col min="9217" max="9217" width="37.875" style="174" customWidth="1"/>
    <col min="9218" max="9218" width="8.75" style="174" customWidth="1"/>
    <col min="9219" max="9219" width="10.75" style="174" customWidth="1"/>
    <col min="9220" max="9222" width="12.75" style="174" customWidth="1"/>
    <col min="9223" max="9224" width="14.375" style="174" customWidth="1"/>
    <col min="9225" max="9225" width="11.875" style="174" customWidth="1"/>
    <col min="9226" max="9471" width="11.125" style="174"/>
    <col min="9472" max="9472" width="9.875" style="174" customWidth="1"/>
    <col min="9473" max="9473" width="37.875" style="174" customWidth="1"/>
    <col min="9474" max="9474" width="8.75" style="174" customWidth="1"/>
    <col min="9475" max="9475" width="10.75" style="174" customWidth="1"/>
    <col min="9476" max="9478" width="12.75" style="174" customWidth="1"/>
    <col min="9479" max="9480" width="14.375" style="174" customWidth="1"/>
    <col min="9481" max="9481" width="11.875" style="174" customWidth="1"/>
    <col min="9482" max="9727" width="11.125" style="174"/>
    <col min="9728" max="9728" width="9.875" style="174" customWidth="1"/>
    <col min="9729" max="9729" width="37.875" style="174" customWidth="1"/>
    <col min="9730" max="9730" width="8.75" style="174" customWidth="1"/>
    <col min="9731" max="9731" width="10.75" style="174" customWidth="1"/>
    <col min="9732" max="9734" width="12.75" style="174" customWidth="1"/>
    <col min="9735" max="9736" width="14.375" style="174" customWidth="1"/>
    <col min="9737" max="9737" width="11.875" style="174" customWidth="1"/>
    <col min="9738" max="9983" width="11.125" style="174"/>
    <col min="9984" max="9984" width="9.875" style="174" customWidth="1"/>
    <col min="9985" max="9985" width="37.875" style="174" customWidth="1"/>
    <col min="9986" max="9986" width="8.75" style="174" customWidth="1"/>
    <col min="9987" max="9987" width="10.75" style="174" customWidth="1"/>
    <col min="9988" max="9990" width="12.75" style="174" customWidth="1"/>
    <col min="9991" max="9992" width="14.375" style="174" customWidth="1"/>
    <col min="9993" max="9993" width="11.875" style="174" customWidth="1"/>
    <col min="9994" max="10239" width="11.125" style="174"/>
    <col min="10240" max="10240" width="9.875" style="174" customWidth="1"/>
    <col min="10241" max="10241" width="37.875" style="174" customWidth="1"/>
    <col min="10242" max="10242" width="8.75" style="174" customWidth="1"/>
    <col min="10243" max="10243" width="10.75" style="174" customWidth="1"/>
    <col min="10244" max="10246" width="12.75" style="174" customWidth="1"/>
    <col min="10247" max="10248" width="14.375" style="174" customWidth="1"/>
    <col min="10249" max="10249" width="11.875" style="174" customWidth="1"/>
    <col min="10250" max="10495" width="11.125" style="174"/>
    <col min="10496" max="10496" width="9.875" style="174" customWidth="1"/>
    <col min="10497" max="10497" width="37.875" style="174" customWidth="1"/>
    <col min="10498" max="10498" width="8.75" style="174" customWidth="1"/>
    <col min="10499" max="10499" width="10.75" style="174" customWidth="1"/>
    <col min="10500" max="10502" width="12.75" style="174" customWidth="1"/>
    <col min="10503" max="10504" width="14.375" style="174" customWidth="1"/>
    <col min="10505" max="10505" width="11.875" style="174" customWidth="1"/>
    <col min="10506" max="10751" width="11.125" style="174"/>
    <col min="10752" max="10752" width="9.875" style="174" customWidth="1"/>
    <col min="10753" max="10753" width="37.875" style="174" customWidth="1"/>
    <col min="10754" max="10754" width="8.75" style="174" customWidth="1"/>
    <col min="10755" max="10755" width="10.75" style="174" customWidth="1"/>
    <col min="10756" max="10758" width="12.75" style="174" customWidth="1"/>
    <col min="10759" max="10760" width="14.375" style="174" customWidth="1"/>
    <col min="10761" max="10761" width="11.875" style="174" customWidth="1"/>
    <col min="10762" max="11007" width="11.125" style="174"/>
    <col min="11008" max="11008" width="9.875" style="174" customWidth="1"/>
    <col min="11009" max="11009" width="37.875" style="174" customWidth="1"/>
    <col min="11010" max="11010" width="8.75" style="174" customWidth="1"/>
    <col min="11011" max="11011" width="10.75" style="174" customWidth="1"/>
    <col min="11012" max="11014" width="12.75" style="174" customWidth="1"/>
    <col min="11015" max="11016" width="14.375" style="174" customWidth="1"/>
    <col min="11017" max="11017" width="11.875" style="174" customWidth="1"/>
    <col min="11018" max="11263" width="11.125" style="174"/>
    <col min="11264" max="11264" width="9.875" style="174" customWidth="1"/>
    <col min="11265" max="11265" width="37.875" style="174" customWidth="1"/>
    <col min="11266" max="11266" width="8.75" style="174" customWidth="1"/>
    <col min="11267" max="11267" width="10.75" style="174" customWidth="1"/>
    <col min="11268" max="11270" width="12.75" style="174" customWidth="1"/>
    <col min="11271" max="11272" width="14.375" style="174" customWidth="1"/>
    <col min="11273" max="11273" width="11.875" style="174" customWidth="1"/>
    <col min="11274" max="11519" width="11.125" style="174"/>
    <col min="11520" max="11520" width="9.875" style="174" customWidth="1"/>
    <col min="11521" max="11521" width="37.875" style="174" customWidth="1"/>
    <col min="11522" max="11522" width="8.75" style="174" customWidth="1"/>
    <col min="11523" max="11523" width="10.75" style="174" customWidth="1"/>
    <col min="11524" max="11526" width="12.75" style="174" customWidth="1"/>
    <col min="11527" max="11528" width="14.375" style="174" customWidth="1"/>
    <col min="11529" max="11529" width="11.875" style="174" customWidth="1"/>
    <col min="11530" max="11775" width="11.125" style="174"/>
    <col min="11776" max="11776" width="9.875" style="174" customWidth="1"/>
    <col min="11777" max="11777" width="37.875" style="174" customWidth="1"/>
    <col min="11778" max="11778" width="8.75" style="174" customWidth="1"/>
    <col min="11779" max="11779" width="10.75" style="174" customWidth="1"/>
    <col min="11780" max="11782" width="12.75" style="174" customWidth="1"/>
    <col min="11783" max="11784" width="14.375" style="174" customWidth="1"/>
    <col min="11785" max="11785" width="11.875" style="174" customWidth="1"/>
    <col min="11786" max="12031" width="11.125" style="174"/>
    <col min="12032" max="12032" width="9.875" style="174" customWidth="1"/>
    <col min="12033" max="12033" width="37.875" style="174" customWidth="1"/>
    <col min="12034" max="12034" width="8.75" style="174" customWidth="1"/>
    <col min="12035" max="12035" width="10.75" style="174" customWidth="1"/>
    <col min="12036" max="12038" width="12.75" style="174" customWidth="1"/>
    <col min="12039" max="12040" width="14.375" style="174" customWidth="1"/>
    <col min="12041" max="12041" width="11.875" style="174" customWidth="1"/>
    <col min="12042" max="12287" width="11.125" style="174"/>
    <col min="12288" max="12288" width="9.875" style="174" customWidth="1"/>
    <col min="12289" max="12289" width="37.875" style="174" customWidth="1"/>
    <col min="12290" max="12290" width="8.75" style="174" customWidth="1"/>
    <col min="12291" max="12291" width="10.75" style="174" customWidth="1"/>
    <col min="12292" max="12294" width="12.75" style="174" customWidth="1"/>
    <col min="12295" max="12296" width="14.375" style="174" customWidth="1"/>
    <col min="12297" max="12297" width="11.875" style="174" customWidth="1"/>
    <col min="12298" max="12543" width="11.125" style="174"/>
    <col min="12544" max="12544" width="9.875" style="174" customWidth="1"/>
    <col min="12545" max="12545" width="37.875" style="174" customWidth="1"/>
    <col min="12546" max="12546" width="8.75" style="174" customWidth="1"/>
    <col min="12547" max="12547" width="10.75" style="174" customWidth="1"/>
    <col min="12548" max="12550" width="12.75" style="174" customWidth="1"/>
    <col min="12551" max="12552" width="14.375" style="174" customWidth="1"/>
    <col min="12553" max="12553" width="11.875" style="174" customWidth="1"/>
    <col min="12554" max="12799" width="11.125" style="174"/>
    <col min="12800" max="12800" width="9.875" style="174" customWidth="1"/>
    <col min="12801" max="12801" width="37.875" style="174" customWidth="1"/>
    <col min="12802" max="12802" width="8.75" style="174" customWidth="1"/>
    <col min="12803" max="12803" width="10.75" style="174" customWidth="1"/>
    <col min="12804" max="12806" width="12.75" style="174" customWidth="1"/>
    <col min="12807" max="12808" width="14.375" style="174" customWidth="1"/>
    <col min="12809" max="12809" width="11.875" style="174" customWidth="1"/>
    <col min="12810" max="13055" width="11.125" style="174"/>
    <col min="13056" max="13056" width="9.875" style="174" customWidth="1"/>
    <col min="13057" max="13057" width="37.875" style="174" customWidth="1"/>
    <col min="13058" max="13058" width="8.75" style="174" customWidth="1"/>
    <col min="13059" max="13059" width="10.75" style="174" customWidth="1"/>
    <col min="13060" max="13062" width="12.75" style="174" customWidth="1"/>
    <col min="13063" max="13064" width="14.375" style="174" customWidth="1"/>
    <col min="13065" max="13065" width="11.875" style="174" customWidth="1"/>
    <col min="13066" max="13311" width="11.125" style="174"/>
    <col min="13312" max="13312" width="9.875" style="174" customWidth="1"/>
    <col min="13313" max="13313" width="37.875" style="174" customWidth="1"/>
    <col min="13314" max="13314" width="8.75" style="174" customWidth="1"/>
    <col min="13315" max="13315" width="10.75" style="174" customWidth="1"/>
    <col min="13316" max="13318" width="12.75" style="174" customWidth="1"/>
    <col min="13319" max="13320" width="14.375" style="174" customWidth="1"/>
    <col min="13321" max="13321" width="11.875" style="174" customWidth="1"/>
    <col min="13322" max="13567" width="11.125" style="174"/>
    <col min="13568" max="13568" width="9.875" style="174" customWidth="1"/>
    <col min="13569" max="13569" width="37.875" style="174" customWidth="1"/>
    <col min="13570" max="13570" width="8.75" style="174" customWidth="1"/>
    <col min="13571" max="13571" width="10.75" style="174" customWidth="1"/>
    <col min="13572" max="13574" width="12.75" style="174" customWidth="1"/>
    <col min="13575" max="13576" width="14.375" style="174" customWidth="1"/>
    <col min="13577" max="13577" width="11.875" style="174" customWidth="1"/>
    <col min="13578" max="13823" width="11.125" style="174"/>
    <col min="13824" max="13824" width="9.875" style="174" customWidth="1"/>
    <col min="13825" max="13825" width="37.875" style="174" customWidth="1"/>
    <col min="13826" max="13826" width="8.75" style="174" customWidth="1"/>
    <col min="13827" max="13827" width="10.75" style="174" customWidth="1"/>
    <col min="13828" max="13830" width="12.75" style="174" customWidth="1"/>
    <col min="13831" max="13832" width="14.375" style="174" customWidth="1"/>
    <col min="13833" max="13833" width="11.875" style="174" customWidth="1"/>
    <col min="13834" max="14079" width="11.125" style="174"/>
    <col min="14080" max="14080" width="9.875" style="174" customWidth="1"/>
    <col min="14081" max="14081" width="37.875" style="174" customWidth="1"/>
    <col min="14082" max="14082" width="8.75" style="174" customWidth="1"/>
    <col min="14083" max="14083" width="10.75" style="174" customWidth="1"/>
    <col min="14084" max="14086" width="12.75" style="174" customWidth="1"/>
    <col min="14087" max="14088" width="14.375" style="174" customWidth="1"/>
    <col min="14089" max="14089" width="11.875" style="174" customWidth="1"/>
    <col min="14090" max="14335" width="11.125" style="174"/>
    <col min="14336" max="14336" width="9.875" style="174" customWidth="1"/>
    <col min="14337" max="14337" width="37.875" style="174" customWidth="1"/>
    <col min="14338" max="14338" width="8.75" style="174" customWidth="1"/>
    <col min="14339" max="14339" width="10.75" style="174" customWidth="1"/>
    <col min="14340" max="14342" width="12.75" style="174" customWidth="1"/>
    <col min="14343" max="14344" width="14.375" style="174" customWidth="1"/>
    <col min="14345" max="14345" width="11.875" style="174" customWidth="1"/>
    <col min="14346" max="14591" width="11.125" style="174"/>
    <col min="14592" max="14592" width="9.875" style="174" customWidth="1"/>
    <col min="14593" max="14593" width="37.875" style="174" customWidth="1"/>
    <col min="14594" max="14594" width="8.75" style="174" customWidth="1"/>
    <col min="14595" max="14595" width="10.75" style="174" customWidth="1"/>
    <col min="14596" max="14598" width="12.75" style="174" customWidth="1"/>
    <col min="14599" max="14600" width="14.375" style="174" customWidth="1"/>
    <col min="14601" max="14601" width="11.875" style="174" customWidth="1"/>
    <col min="14602" max="14847" width="11.125" style="174"/>
    <col min="14848" max="14848" width="9.875" style="174" customWidth="1"/>
    <col min="14849" max="14849" width="37.875" style="174" customWidth="1"/>
    <col min="14850" max="14850" width="8.75" style="174" customWidth="1"/>
    <col min="14851" max="14851" width="10.75" style="174" customWidth="1"/>
    <col min="14852" max="14854" width="12.75" style="174" customWidth="1"/>
    <col min="14855" max="14856" width="14.375" style="174" customWidth="1"/>
    <col min="14857" max="14857" width="11.875" style="174" customWidth="1"/>
    <col min="14858" max="15103" width="11.125" style="174"/>
    <col min="15104" max="15104" width="9.875" style="174" customWidth="1"/>
    <col min="15105" max="15105" width="37.875" style="174" customWidth="1"/>
    <col min="15106" max="15106" width="8.75" style="174" customWidth="1"/>
    <col min="15107" max="15107" width="10.75" style="174" customWidth="1"/>
    <col min="15108" max="15110" width="12.75" style="174" customWidth="1"/>
    <col min="15111" max="15112" width="14.375" style="174" customWidth="1"/>
    <col min="15113" max="15113" width="11.875" style="174" customWidth="1"/>
    <col min="15114" max="15359" width="11.125" style="174"/>
    <col min="15360" max="15360" width="9.875" style="174" customWidth="1"/>
    <col min="15361" max="15361" width="37.875" style="174" customWidth="1"/>
    <col min="15362" max="15362" width="8.75" style="174" customWidth="1"/>
    <col min="15363" max="15363" width="10.75" style="174" customWidth="1"/>
    <col min="15364" max="15366" width="12.75" style="174" customWidth="1"/>
    <col min="15367" max="15368" width="14.375" style="174" customWidth="1"/>
    <col min="15369" max="15369" width="11.875" style="174" customWidth="1"/>
    <col min="15370" max="15615" width="11.125" style="174"/>
    <col min="15616" max="15616" width="9.875" style="174" customWidth="1"/>
    <col min="15617" max="15617" width="37.875" style="174" customWidth="1"/>
    <col min="15618" max="15618" width="8.75" style="174" customWidth="1"/>
    <col min="15619" max="15619" width="10.75" style="174" customWidth="1"/>
    <col min="15620" max="15622" width="12.75" style="174" customWidth="1"/>
    <col min="15623" max="15624" width="14.375" style="174" customWidth="1"/>
    <col min="15625" max="15625" width="11.875" style="174" customWidth="1"/>
    <col min="15626" max="15871" width="11.125" style="174"/>
    <col min="15872" max="15872" width="9.875" style="174" customWidth="1"/>
    <col min="15873" max="15873" width="37.875" style="174" customWidth="1"/>
    <col min="15874" max="15874" width="8.75" style="174" customWidth="1"/>
    <col min="15875" max="15875" width="10.75" style="174" customWidth="1"/>
    <col min="15876" max="15878" width="12.75" style="174" customWidth="1"/>
    <col min="15879" max="15880" width="14.375" style="174" customWidth="1"/>
    <col min="15881" max="15881" width="11.875" style="174" customWidth="1"/>
    <col min="15882" max="16127" width="11.125" style="174"/>
    <col min="16128" max="16128" width="9.875" style="174" customWidth="1"/>
    <col min="16129" max="16129" width="37.875" style="174" customWidth="1"/>
    <col min="16130" max="16130" width="8.75" style="174" customWidth="1"/>
    <col min="16131" max="16131" width="10.75" style="174" customWidth="1"/>
    <col min="16132" max="16134" width="12.75" style="174" customWidth="1"/>
    <col min="16135" max="16136" width="14.375" style="174" customWidth="1"/>
    <col min="16137" max="16137" width="11.875" style="174" customWidth="1"/>
    <col min="16138" max="16384" width="11.125" style="174"/>
  </cols>
  <sheetData>
    <row r="1" spans="1:9" s="24" customFormat="1" ht="18.75" x14ac:dyDescent="0.3">
      <c r="A1" s="23" t="s">
        <v>66</v>
      </c>
      <c r="F1" s="49"/>
      <c r="G1" s="49"/>
      <c r="H1" s="49"/>
      <c r="I1" s="167" t="s">
        <v>199</v>
      </c>
    </row>
    <row r="2" spans="1:9" s="24" customFormat="1" ht="18.75" x14ac:dyDescent="0.3">
      <c r="B2" s="168"/>
      <c r="C2" s="168"/>
      <c r="D2" s="168"/>
      <c r="F2" s="49"/>
      <c r="G2" s="49"/>
      <c r="H2" s="49"/>
    </row>
    <row r="3" spans="1:9" s="169" customFormat="1" ht="18.75" x14ac:dyDescent="0.3">
      <c r="A3" s="339" t="s">
        <v>221</v>
      </c>
      <c r="B3" s="339"/>
      <c r="C3" s="339"/>
      <c r="D3" s="339"/>
      <c r="E3" s="339"/>
      <c r="F3" s="339"/>
      <c r="G3" s="339"/>
      <c r="H3" s="339"/>
      <c r="I3" s="339"/>
    </row>
    <row r="4" spans="1:9" s="25" customFormat="1" ht="16.5" x14ac:dyDescent="0.25">
      <c r="A4" s="343" t="s">
        <v>222</v>
      </c>
      <c r="B4" s="343"/>
      <c r="C4" s="343"/>
      <c r="D4" s="343"/>
      <c r="E4" s="343"/>
      <c r="F4" s="343"/>
      <c r="G4" s="343"/>
      <c r="H4" s="343"/>
      <c r="I4" s="343"/>
    </row>
    <row r="5" spans="1:9" s="25" customFormat="1" ht="15.75" x14ac:dyDescent="0.25">
      <c r="A5" s="170"/>
      <c r="B5" s="170"/>
      <c r="C5" s="170"/>
      <c r="D5" s="170"/>
      <c r="F5" s="171"/>
      <c r="G5" s="171"/>
      <c r="H5" s="171"/>
    </row>
    <row r="6" spans="1:9" s="25" customFormat="1" ht="16.5" x14ac:dyDescent="0.25">
      <c r="A6" s="26"/>
      <c r="B6" s="26"/>
      <c r="C6" s="26"/>
      <c r="D6" s="26"/>
      <c r="F6" s="171"/>
      <c r="G6" s="171"/>
      <c r="H6" s="171"/>
      <c r="I6" s="172" t="s">
        <v>202</v>
      </c>
    </row>
    <row r="7" spans="1:9" ht="66" x14ac:dyDescent="0.2">
      <c r="A7" s="27" t="s">
        <v>33</v>
      </c>
      <c r="B7" s="27" t="s">
        <v>223</v>
      </c>
      <c r="C7" s="27" t="s">
        <v>16</v>
      </c>
      <c r="D7" s="27" t="s">
        <v>224</v>
      </c>
      <c r="E7" s="27" t="s">
        <v>225</v>
      </c>
      <c r="F7" s="173" t="s">
        <v>226</v>
      </c>
      <c r="G7" s="173" t="s">
        <v>227</v>
      </c>
      <c r="H7" s="173" t="s">
        <v>228</v>
      </c>
      <c r="I7" s="27" t="s">
        <v>31</v>
      </c>
    </row>
    <row r="8" spans="1:9" s="177" customFormat="1" ht="11.25" x14ac:dyDescent="0.2">
      <c r="A8" s="175">
        <v>1</v>
      </c>
      <c r="B8" s="175">
        <v>2</v>
      </c>
      <c r="C8" s="175">
        <v>3</v>
      </c>
      <c r="D8" s="175"/>
      <c r="E8" s="175"/>
      <c r="F8" s="176"/>
      <c r="G8" s="176"/>
      <c r="H8" s="176"/>
      <c r="I8" s="175">
        <v>5</v>
      </c>
    </row>
    <row r="9" spans="1:9" s="106" customFormat="1" ht="18.75" x14ac:dyDescent="0.25">
      <c r="A9" s="104" t="s">
        <v>10</v>
      </c>
      <c r="B9" s="104" t="s">
        <v>229</v>
      </c>
      <c r="C9" s="104"/>
      <c r="D9" s="104"/>
      <c r="E9" s="104"/>
      <c r="F9" s="105"/>
      <c r="G9" s="105"/>
      <c r="H9" s="105"/>
      <c r="I9" s="104"/>
    </row>
    <row r="10" spans="1:9" ht="18.75" x14ac:dyDescent="0.2">
      <c r="A10" s="178">
        <v>1</v>
      </c>
      <c r="B10" s="179" t="s">
        <v>220</v>
      </c>
      <c r="C10" s="180">
        <v>14150</v>
      </c>
      <c r="D10" s="180">
        <v>28045</v>
      </c>
      <c r="E10" s="181">
        <v>42100</v>
      </c>
      <c r="F10" s="182">
        <f t="shared" ref="F10:F15" si="0">+D10/1800000*2340000</f>
        <v>36458.5</v>
      </c>
      <c r="G10" s="182">
        <f>+C10+F10</f>
        <v>50608.5</v>
      </c>
      <c r="H10" s="182">
        <f t="shared" ref="H10:H15" si="1">ROUNDDOWN(G10,-2)</f>
        <v>50600</v>
      </c>
      <c r="I10" s="183"/>
    </row>
    <row r="11" spans="1:9" s="190" customFormat="1" ht="18.75" x14ac:dyDescent="0.2">
      <c r="A11" s="184">
        <v>2</v>
      </c>
      <c r="B11" s="185" t="s">
        <v>41</v>
      </c>
      <c r="C11" s="186">
        <v>14150</v>
      </c>
      <c r="D11" s="187">
        <v>28045</v>
      </c>
      <c r="E11" s="188">
        <v>42100</v>
      </c>
      <c r="F11" s="188">
        <f t="shared" si="0"/>
        <v>36458.5</v>
      </c>
      <c r="G11" s="188">
        <f t="shared" ref="G11:G15" si="2">+C11+F11</f>
        <v>50608.5</v>
      </c>
      <c r="H11" s="188">
        <f t="shared" si="1"/>
        <v>50600</v>
      </c>
      <c r="I11" s="189"/>
    </row>
    <row r="12" spans="1:9" ht="18.75" x14ac:dyDescent="0.2">
      <c r="A12" s="191">
        <v>3</v>
      </c>
      <c r="B12" s="192" t="s">
        <v>42</v>
      </c>
      <c r="C12" s="193">
        <v>12922</v>
      </c>
      <c r="D12" s="180">
        <v>24709</v>
      </c>
      <c r="E12" s="181">
        <v>37500</v>
      </c>
      <c r="F12" s="182">
        <f t="shared" si="0"/>
        <v>32121.7</v>
      </c>
      <c r="G12" s="182">
        <f t="shared" si="2"/>
        <v>45043.7</v>
      </c>
      <c r="H12" s="182">
        <f t="shared" si="1"/>
        <v>45000</v>
      </c>
      <c r="I12" s="183"/>
    </row>
    <row r="13" spans="1:9" ht="18.75" x14ac:dyDescent="0.2">
      <c r="A13" s="191">
        <v>4</v>
      </c>
      <c r="B13" s="192" t="s">
        <v>43</v>
      </c>
      <c r="C13" s="180">
        <v>11485</v>
      </c>
      <c r="D13" s="180">
        <v>21801</v>
      </c>
      <c r="E13" s="181">
        <v>33200</v>
      </c>
      <c r="F13" s="182">
        <f t="shared" si="0"/>
        <v>28341.3</v>
      </c>
      <c r="G13" s="182">
        <f t="shared" si="2"/>
        <v>39826.300000000003</v>
      </c>
      <c r="H13" s="182">
        <f t="shared" si="1"/>
        <v>39800</v>
      </c>
      <c r="I13" s="183"/>
    </row>
    <row r="14" spans="1:9" ht="18.75" x14ac:dyDescent="0.2">
      <c r="A14" s="191">
        <v>5</v>
      </c>
      <c r="B14" s="192" t="s">
        <v>230</v>
      </c>
      <c r="C14" s="193">
        <v>8969</v>
      </c>
      <c r="D14" s="180">
        <v>21185</v>
      </c>
      <c r="E14" s="181">
        <v>30100</v>
      </c>
      <c r="F14" s="182">
        <f t="shared" si="0"/>
        <v>27540.5</v>
      </c>
      <c r="G14" s="182">
        <f t="shared" si="2"/>
        <v>36509.5</v>
      </c>
      <c r="H14" s="182">
        <f t="shared" si="1"/>
        <v>36500</v>
      </c>
      <c r="I14" s="183"/>
    </row>
    <row r="15" spans="1:9" ht="36" customHeight="1" x14ac:dyDescent="0.2">
      <c r="A15" s="194">
        <v>6</v>
      </c>
      <c r="B15" s="195" t="s">
        <v>231</v>
      </c>
      <c r="C15" s="193">
        <v>8969</v>
      </c>
      <c r="D15" s="180">
        <v>21185</v>
      </c>
      <c r="E15" s="181">
        <v>30100</v>
      </c>
      <c r="F15" s="182">
        <f t="shared" si="0"/>
        <v>27540.5</v>
      </c>
      <c r="G15" s="182">
        <f t="shared" si="2"/>
        <v>36509.5</v>
      </c>
      <c r="H15" s="182">
        <f t="shared" si="1"/>
        <v>36500</v>
      </c>
      <c r="I15" s="183"/>
    </row>
    <row r="16" spans="1:9" ht="93.75" x14ac:dyDescent="0.2">
      <c r="A16" s="196">
        <v>7</v>
      </c>
      <c r="B16" s="197" t="s">
        <v>65</v>
      </c>
      <c r="C16" s="197"/>
      <c r="D16" s="197"/>
      <c r="E16" s="198">
        <v>200000</v>
      </c>
      <c r="F16" s="199"/>
      <c r="G16" s="199"/>
      <c r="H16" s="199"/>
      <c r="I16" s="200"/>
    </row>
    <row r="17" spans="1:9" s="106" customFormat="1" ht="18.75" x14ac:dyDescent="0.25">
      <c r="A17" s="107" t="s">
        <v>15</v>
      </c>
      <c r="B17" s="201" t="s">
        <v>129</v>
      </c>
      <c r="C17" s="107"/>
      <c r="D17" s="107"/>
      <c r="E17" s="107"/>
      <c r="F17" s="202"/>
      <c r="G17" s="202"/>
      <c r="H17" s="202"/>
      <c r="I17" s="107"/>
    </row>
    <row r="18" spans="1:9" ht="56.25" x14ac:dyDescent="0.2">
      <c r="A18" s="203">
        <v>8</v>
      </c>
      <c r="B18" s="204" t="s">
        <v>130</v>
      </c>
      <c r="C18" s="204"/>
      <c r="D18" s="204"/>
      <c r="E18" s="205">
        <v>160000</v>
      </c>
      <c r="F18" s="206"/>
      <c r="G18" s="206"/>
      <c r="H18" s="206"/>
      <c r="I18" s="207"/>
    </row>
    <row r="19" spans="1:9" ht="56.25" x14ac:dyDescent="0.2">
      <c r="A19" s="194">
        <v>9</v>
      </c>
      <c r="B19" s="195" t="s">
        <v>131</v>
      </c>
      <c r="C19" s="195"/>
      <c r="D19" s="195"/>
      <c r="E19" s="181">
        <v>160000</v>
      </c>
      <c r="F19" s="182"/>
      <c r="G19" s="182"/>
      <c r="H19" s="182"/>
      <c r="I19" s="183"/>
    </row>
    <row r="20" spans="1:9" ht="56.25" x14ac:dyDescent="0.2">
      <c r="A20" s="196">
        <v>10</v>
      </c>
      <c r="B20" s="208" t="s">
        <v>132</v>
      </c>
      <c r="C20" s="208"/>
      <c r="D20" s="208"/>
      <c r="E20" s="209">
        <v>450000</v>
      </c>
      <c r="F20" s="210"/>
      <c r="G20" s="210"/>
      <c r="H20" s="210"/>
      <c r="I20" s="211"/>
    </row>
  </sheetData>
  <mergeCells count="2">
    <mergeCell ref="A3:I3"/>
    <mergeCell ref="A4:I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259"/>
  <sheetViews>
    <sheetView workbookViewId="0">
      <selection activeCell="B8" sqref="B8"/>
    </sheetView>
  </sheetViews>
  <sheetFormatPr defaultColWidth="9.125" defaultRowHeight="12.75" x14ac:dyDescent="0.2"/>
  <cols>
    <col min="1" max="1" width="6.75" style="24" customWidth="1"/>
    <col min="2" max="2" width="60.75" style="24" customWidth="1"/>
    <col min="3" max="3" width="13.25" style="96" customWidth="1"/>
    <col min="4" max="5" width="11.625" style="96" customWidth="1"/>
    <col min="6" max="6" width="15.25" style="96" customWidth="1"/>
    <col min="7" max="7" width="13.625" style="49" customWidth="1"/>
    <col min="8" max="8" width="18.875" style="49" customWidth="1"/>
    <col min="9" max="9" width="16.625" style="49" customWidth="1"/>
    <col min="10" max="206" width="8.875" style="24" customWidth="1"/>
    <col min="207" max="207" width="5.25" style="24" customWidth="1"/>
    <col min="208" max="208" width="6.125" style="24" customWidth="1"/>
    <col min="209" max="209" width="6.75" style="24" customWidth="1"/>
    <col min="210" max="210" width="51.75" style="24" customWidth="1"/>
    <col min="211" max="218" width="8.875" style="24" customWidth="1"/>
    <col min="219" max="255" width="9.125" style="24"/>
    <col min="256" max="256" width="10" style="24" customWidth="1"/>
    <col min="257" max="257" width="57.25" style="24" customWidth="1"/>
    <col min="258" max="260" width="11.625" style="24" customWidth="1"/>
    <col min="261" max="261" width="12.125" style="24" customWidth="1"/>
    <col min="262" max="263" width="11.875" style="24" customWidth="1"/>
    <col min="264" max="265" width="14.625" style="24" customWidth="1"/>
    <col min="266" max="462" width="8.875" style="24" customWidth="1"/>
    <col min="463" max="463" width="5.25" style="24" customWidth="1"/>
    <col min="464" max="464" width="6.125" style="24" customWidth="1"/>
    <col min="465" max="465" width="6.75" style="24" customWidth="1"/>
    <col min="466" max="466" width="51.75" style="24" customWidth="1"/>
    <col min="467" max="474" width="8.875" style="24" customWidth="1"/>
    <col min="475" max="511" width="9.125" style="24"/>
    <col min="512" max="512" width="10" style="24" customWidth="1"/>
    <col min="513" max="513" width="57.25" style="24" customWidth="1"/>
    <col min="514" max="516" width="11.625" style="24" customWidth="1"/>
    <col min="517" max="517" width="12.125" style="24" customWidth="1"/>
    <col min="518" max="519" width="11.875" style="24" customWidth="1"/>
    <col min="520" max="521" width="14.625" style="24" customWidth="1"/>
    <col min="522" max="718" width="8.875" style="24" customWidth="1"/>
    <col min="719" max="719" width="5.25" style="24" customWidth="1"/>
    <col min="720" max="720" width="6.125" style="24" customWidth="1"/>
    <col min="721" max="721" width="6.75" style="24" customWidth="1"/>
    <col min="722" max="722" width="51.75" style="24" customWidth="1"/>
    <col min="723" max="730" width="8.875" style="24" customWidth="1"/>
    <col min="731" max="767" width="9.125" style="24"/>
    <col min="768" max="768" width="10" style="24" customWidth="1"/>
    <col min="769" max="769" width="57.25" style="24" customWidth="1"/>
    <col min="770" max="772" width="11.625" style="24" customWidth="1"/>
    <col min="773" max="773" width="12.125" style="24" customWidth="1"/>
    <col min="774" max="775" width="11.875" style="24" customWidth="1"/>
    <col min="776" max="777" width="14.625" style="24" customWidth="1"/>
    <col min="778" max="974" width="8.875" style="24" customWidth="1"/>
    <col min="975" max="975" width="5.25" style="24" customWidth="1"/>
    <col min="976" max="976" width="6.125" style="24" customWidth="1"/>
    <col min="977" max="977" width="6.75" style="24" customWidth="1"/>
    <col min="978" max="978" width="51.75" style="24" customWidth="1"/>
    <col min="979" max="986" width="8.875" style="24" customWidth="1"/>
    <col min="987" max="1023" width="9.125" style="24"/>
    <col min="1024" max="1024" width="10" style="24" customWidth="1"/>
    <col min="1025" max="1025" width="57.25" style="24" customWidth="1"/>
    <col min="1026" max="1028" width="11.625" style="24" customWidth="1"/>
    <col min="1029" max="1029" width="12.125" style="24" customWidth="1"/>
    <col min="1030" max="1031" width="11.875" style="24" customWidth="1"/>
    <col min="1032" max="1033" width="14.625" style="24" customWidth="1"/>
    <col min="1034" max="1230" width="8.875" style="24" customWidth="1"/>
    <col min="1231" max="1231" width="5.25" style="24" customWidth="1"/>
    <col min="1232" max="1232" width="6.125" style="24" customWidth="1"/>
    <col min="1233" max="1233" width="6.75" style="24" customWidth="1"/>
    <col min="1234" max="1234" width="51.75" style="24" customWidth="1"/>
    <col min="1235" max="1242" width="8.875" style="24" customWidth="1"/>
    <col min="1243" max="1279" width="9.125" style="24"/>
    <col min="1280" max="1280" width="10" style="24" customWidth="1"/>
    <col min="1281" max="1281" width="57.25" style="24" customWidth="1"/>
    <col min="1282" max="1284" width="11.625" style="24" customWidth="1"/>
    <col min="1285" max="1285" width="12.125" style="24" customWidth="1"/>
    <col min="1286" max="1287" width="11.875" style="24" customWidth="1"/>
    <col min="1288" max="1289" width="14.625" style="24" customWidth="1"/>
    <col min="1290" max="1486" width="8.875" style="24" customWidth="1"/>
    <col min="1487" max="1487" width="5.25" style="24" customWidth="1"/>
    <col min="1488" max="1488" width="6.125" style="24" customWidth="1"/>
    <col min="1489" max="1489" width="6.75" style="24" customWidth="1"/>
    <col min="1490" max="1490" width="51.75" style="24" customWidth="1"/>
    <col min="1491" max="1498" width="8.875" style="24" customWidth="1"/>
    <col min="1499" max="1535" width="9.125" style="24"/>
    <col min="1536" max="1536" width="10" style="24" customWidth="1"/>
    <col min="1537" max="1537" width="57.25" style="24" customWidth="1"/>
    <col min="1538" max="1540" width="11.625" style="24" customWidth="1"/>
    <col min="1541" max="1541" width="12.125" style="24" customWidth="1"/>
    <col min="1542" max="1543" width="11.875" style="24" customWidth="1"/>
    <col min="1544" max="1545" width="14.625" style="24" customWidth="1"/>
    <col min="1546" max="1742" width="8.875" style="24" customWidth="1"/>
    <col min="1743" max="1743" width="5.25" style="24" customWidth="1"/>
    <col min="1744" max="1744" width="6.125" style="24" customWidth="1"/>
    <col min="1745" max="1745" width="6.75" style="24" customWidth="1"/>
    <col min="1746" max="1746" width="51.75" style="24" customWidth="1"/>
    <col min="1747" max="1754" width="8.875" style="24" customWidth="1"/>
    <col min="1755" max="1791" width="9.125" style="24"/>
    <col min="1792" max="1792" width="10" style="24" customWidth="1"/>
    <col min="1793" max="1793" width="57.25" style="24" customWidth="1"/>
    <col min="1794" max="1796" width="11.625" style="24" customWidth="1"/>
    <col min="1797" max="1797" width="12.125" style="24" customWidth="1"/>
    <col min="1798" max="1799" width="11.875" style="24" customWidth="1"/>
    <col min="1800" max="1801" width="14.625" style="24" customWidth="1"/>
    <col min="1802" max="1998" width="8.875" style="24" customWidth="1"/>
    <col min="1999" max="1999" width="5.25" style="24" customWidth="1"/>
    <col min="2000" max="2000" width="6.125" style="24" customWidth="1"/>
    <col min="2001" max="2001" width="6.75" style="24" customWidth="1"/>
    <col min="2002" max="2002" width="51.75" style="24" customWidth="1"/>
    <col min="2003" max="2010" width="8.875" style="24" customWidth="1"/>
    <col min="2011" max="2047" width="9.125" style="24"/>
    <col min="2048" max="2048" width="10" style="24" customWidth="1"/>
    <col min="2049" max="2049" width="57.25" style="24" customWidth="1"/>
    <col min="2050" max="2052" width="11.625" style="24" customWidth="1"/>
    <col min="2053" max="2053" width="12.125" style="24" customWidth="1"/>
    <col min="2054" max="2055" width="11.875" style="24" customWidth="1"/>
    <col min="2056" max="2057" width="14.625" style="24" customWidth="1"/>
    <col min="2058" max="2254" width="8.875" style="24" customWidth="1"/>
    <col min="2255" max="2255" width="5.25" style="24" customWidth="1"/>
    <col min="2256" max="2256" width="6.125" style="24" customWidth="1"/>
    <col min="2257" max="2257" width="6.75" style="24" customWidth="1"/>
    <col min="2258" max="2258" width="51.75" style="24" customWidth="1"/>
    <col min="2259" max="2266" width="8.875" style="24" customWidth="1"/>
    <col min="2267" max="2303" width="9.125" style="24"/>
    <col min="2304" max="2304" width="10" style="24" customWidth="1"/>
    <col min="2305" max="2305" width="57.25" style="24" customWidth="1"/>
    <col min="2306" max="2308" width="11.625" style="24" customWidth="1"/>
    <col min="2309" max="2309" width="12.125" style="24" customWidth="1"/>
    <col min="2310" max="2311" width="11.875" style="24" customWidth="1"/>
    <col min="2312" max="2313" width="14.625" style="24" customWidth="1"/>
    <col min="2314" max="2510" width="8.875" style="24" customWidth="1"/>
    <col min="2511" max="2511" width="5.25" style="24" customWidth="1"/>
    <col min="2512" max="2512" width="6.125" style="24" customWidth="1"/>
    <col min="2513" max="2513" width="6.75" style="24" customWidth="1"/>
    <col min="2514" max="2514" width="51.75" style="24" customWidth="1"/>
    <col min="2515" max="2522" width="8.875" style="24" customWidth="1"/>
    <col min="2523" max="2559" width="9.125" style="24"/>
    <col min="2560" max="2560" width="10" style="24" customWidth="1"/>
    <col min="2561" max="2561" width="57.25" style="24" customWidth="1"/>
    <col min="2562" max="2564" width="11.625" style="24" customWidth="1"/>
    <col min="2565" max="2565" width="12.125" style="24" customWidth="1"/>
    <col min="2566" max="2567" width="11.875" style="24" customWidth="1"/>
    <col min="2568" max="2569" width="14.625" style="24" customWidth="1"/>
    <col min="2570" max="2766" width="8.875" style="24" customWidth="1"/>
    <col min="2767" max="2767" width="5.25" style="24" customWidth="1"/>
    <col min="2768" max="2768" width="6.125" style="24" customWidth="1"/>
    <col min="2769" max="2769" width="6.75" style="24" customWidth="1"/>
    <col min="2770" max="2770" width="51.75" style="24" customWidth="1"/>
    <col min="2771" max="2778" width="8.875" style="24" customWidth="1"/>
    <col min="2779" max="2815" width="9.125" style="24"/>
    <col min="2816" max="2816" width="10" style="24" customWidth="1"/>
    <col min="2817" max="2817" width="57.25" style="24" customWidth="1"/>
    <col min="2818" max="2820" width="11.625" style="24" customWidth="1"/>
    <col min="2821" max="2821" width="12.125" style="24" customWidth="1"/>
    <col min="2822" max="2823" width="11.875" style="24" customWidth="1"/>
    <col min="2824" max="2825" width="14.625" style="24" customWidth="1"/>
    <col min="2826" max="3022" width="8.875" style="24" customWidth="1"/>
    <col min="3023" max="3023" width="5.25" style="24" customWidth="1"/>
    <col min="3024" max="3024" width="6.125" style="24" customWidth="1"/>
    <col min="3025" max="3025" width="6.75" style="24" customWidth="1"/>
    <col min="3026" max="3026" width="51.75" style="24" customWidth="1"/>
    <col min="3027" max="3034" width="8.875" style="24" customWidth="1"/>
    <col min="3035" max="3071" width="9.125" style="24"/>
    <col min="3072" max="3072" width="10" style="24" customWidth="1"/>
    <col min="3073" max="3073" width="57.25" style="24" customWidth="1"/>
    <col min="3074" max="3076" width="11.625" style="24" customWidth="1"/>
    <col min="3077" max="3077" width="12.125" style="24" customWidth="1"/>
    <col min="3078" max="3079" width="11.875" style="24" customWidth="1"/>
    <col min="3080" max="3081" width="14.625" style="24" customWidth="1"/>
    <col min="3082" max="3278" width="8.875" style="24" customWidth="1"/>
    <col min="3279" max="3279" width="5.25" style="24" customWidth="1"/>
    <col min="3280" max="3280" width="6.125" style="24" customWidth="1"/>
    <col min="3281" max="3281" width="6.75" style="24" customWidth="1"/>
    <col min="3282" max="3282" width="51.75" style="24" customWidth="1"/>
    <col min="3283" max="3290" width="8.875" style="24" customWidth="1"/>
    <col min="3291" max="3327" width="9.125" style="24"/>
    <col min="3328" max="3328" width="10" style="24" customWidth="1"/>
    <col min="3329" max="3329" width="57.25" style="24" customWidth="1"/>
    <col min="3330" max="3332" width="11.625" style="24" customWidth="1"/>
    <col min="3333" max="3333" width="12.125" style="24" customWidth="1"/>
    <col min="3334" max="3335" width="11.875" style="24" customWidth="1"/>
    <col min="3336" max="3337" width="14.625" style="24" customWidth="1"/>
    <col min="3338" max="3534" width="8.875" style="24" customWidth="1"/>
    <col min="3535" max="3535" width="5.25" style="24" customWidth="1"/>
    <col min="3536" max="3536" width="6.125" style="24" customWidth="1"/>
    <col min="3537" max="3537" width="6.75" style="24" customWidth="1"/>
    <col min="3538" max="3538" width="51.75" style="24" customWidth="1"/>
    <col min="3539" max="3546" width="8.875" style="24" customWidth="1"/>
    <col min="3547" max="3583" width="9.125" style="24"/>
    <col min="3584" max="3584" width="10" style="24" customWidth="1"/>
    <col min="3585" max="3585" width="57.25" style="24" customWidth="1"/>
    <col min="3586" max="3588" width="11.625" style="24" customWidth="1"/>
    <col min="3589" max="3589" width="12.125" style="24" customWidth="1"/>
    <col min="3590" max="3591" width="11.875" style="24" customWidth="1"/>
    <col min="3592" max="3593" width="14.625" style="24" customWidth="1"/>
    <col min="3594" max="3790" width="8.875" style="24" customWidth="1"/>
    <col min="3791" max="3791" width="5.25" style="24" customWidth="1"/>
    <col min="3792" max="3792" width="6.125" style="24" customWidth="1"/>
    <col min="3793" max="3793" width="6.75" style="24" customWidth="1"/>
    <col min="3794" max="3794" width="51.75" style="24" customWidth="1"/>
    <col min="3795" max="3802" width="8.875" style="24" customWidth="1"/>
    <col min="3803" max="3839" width="9.125" style="24"/>
    <col min="3840" max="3840" width="10" style="24" customWidth="1"/>
    <col min="3841" max="3841" width="57.25" style="24" customWidth="1"/>
    <col min="3842" max="3844" width="11.625" style="24" customWidth="1"/>
    <col min="3845" max="3845" width="12.125" style="24" customWidth="1"/>
    <col min="3846" max="3847" width="11.875" style="24" customWidth="1"/>
    <col min="3848" max="3849" width="14.625" style="24" customWidth="1"/>
    <col min="3850" max="4046" width="8.875" style="24" customWidth="1"/>
    <col min="4047" max="4047" width="5.25" style="24" customWidth="1"/>
    <col min="4048" max="4048" width="6.125" style="24" customWidth="1"/>
    <col min="4049" max="4049" width="6.75" style="24" customWidth="1"/>
    <col min="4050" max="4050" width="51.75" style="24" customWidth="1"/>
    <col min="4051" max="4058" width="8.875" style="24" customWidth="1"/>
    <col min="4059" max="4095" width="9.125" style="24"/>
    <col min="4096" max="4096" width="10" style="24" customWidth="1"/>
    <col min="4097" max="4097" width="57.25" style="24" customWidth="1"/>
    <col min="4098" max="4100" width="11.625" style="24" customWidth="1"/>
    <col min="4101" max="4101" width="12.125" style="24" customWidth="1"/>
    <col min="4102" max="4103" width="11.875" style="24" customWidth="1"/>
    <col min="4104" max="4105" width="14.625" style="24" customWidth="1"/>
    <col min="4106" max="4302" width="8.875" style="24" customWidth="1"/>
    <col min="4303" max="4303" width="5.25" style="24" customWidth="1"/>
    <col min="4304" max="4304" width="6.125" style="24" customWidth="1"/>
    <col min="4305" max="4305" width="6.75" style="24" customWidth="1"/>
    <col min="4306" max="4306" width="51.75" style="24" customWidth="1"/>
    <col min="4307" max="4314" width="8.875" style="24" customWidth="1"/>
    <col min="4315" max="4351" width="9.125" style="24"/>
    <col min="4352" max="4352" width="10" style="24" customWidth="1"/>
    <col min="4353" max="4353" width="57.25" style="24" customWidth="1"/>
    <col min="4354" max="4356" width="11.625" style="24" customWidth="1"/>
    <col min="4357" max="4357" width="12.125" style="24" customWidth="1"/>
    <col min="4358" max="4359" width="11.875" style="24" customWidth="1"/>
    <col min="4360" max="4361" width="14.625" style="24" customWidth="1"/>
    <col min="4362" max="4558" width="8.875" style="24" customWidth="1"/>
    <col min="4559" max="4559" width="5.25" style="24" customWidth="1"/>
    <col min="4560" max="4560" width="6.125" style="24" customWidth="1"/>
    <col min="4561" max="4561" width="6.75" style="24" customWidth="1"/>
    <col min="4562" max="4562" width="51.75" style="24" customWidth="1"/>
    <col min="4563" max="4570" width="8.875" style="24" customWidth="1"/>
    <col min="4571" max="4607" width="9.125" style="24"/>
    <col min="4608" max="4608" width="10" style="24" customWidth="1"/>
    <col min="4609" max="4609" width="57.25" style="24" customWidth="1"/>
    <col min="4610" max="4612" width="11.625" style="24" customWidth="1"/>
    <col min="4613" max="4613" width="12.125" style="24" customWidth="1"/>
    <col min="4614" max="4615" width="11.875" style="24" customWidth="1"/>
    <col min="4616" max="4617" width="14.625" style="24" customWidth="1"/>
    <col min="4618" max="4814" width="8.875" style="24" customWidth="1"/>
    <col min="4815" max="4815" width="5.25" style="24" customWidth="1"/>
    <col min="4816" max="4816" width="6.125" style="24" customWidth="1"/>
    <col min="4817" max="4817" width="6.75" style="24" customWidth="1"/>
    <col min="4818" max="4818" width="51.75" style="24" customWidth="1"/>
    <col min="4819" max="4826" width="8.875" style="24" customWidth="1"/>
    <col min="4827" max="4863" width="9.125" style="24"/>
    <col min="4864" max="4864" width="10" style="24" customWidth="1"/>
    <col min="4865" max="4865" width="57.25" style="24" customWidth="1"/>
    <col min="4866" max="4868" width="11.625" style="24" customWidth="1"/>
    <col min="4869" max="4869" width="12.125" style="24" customWidth="1"/>
    <col min="4870" max="4871" width="11.875" style="24" customWidth="1"/>
    <col min="4872" max="4873" width="14.625" style="24" customWidth="1"/>
    <col min="4874" max="5070" width="8.875" style="24" customWidth="1"/>
    <col min="5071" max="5071" width="5.25" style="24" customWidth="1"/>
    <col min="5072" max="5072" width="6.125" style="24" customWidth="1"/>
    <col min="5073" max="5073" width="6.75" style="24" customWidth="1"/>
    <col min="5074" max="5074" width="51.75" style="24" customWidth="1"/>
    <col min="5075" max="5082" width="8.875" style="24" customWidth="1"/>
    <col min="5083" max="5119" width="9.125" style="24"/>
    <col min="5120" max="5120" width="10" style="24" customWidth="1"/>
    <col min="5121" max="5121" width="57.25" style="24" customWidth="1"/>
    <col min="5122" max="5124" width="11.625" style="24" customWidth="1"/>
    <col min="5125" max="5125" width="12.125" style="24" customWidth="1"/>
    <col min="5126" max="5127" width="11.875" style="24" customWidth="1"/>
    <col min="5128" max="5129" width="14.625" style="24" customWidth="1"/>
    <col min="5130" max="5326" width="8.875" style="24" customWidth="1"/>
    <col min="5327" max="5327" width="5.25" style="24" customWidth="1"/>
    <col min="5328" max="5328" width="6.125" style="24" customWidth="1"/>
    <col min="5329" max="5329" width="6.75" style="24" customWidth="1"/>
    <col min="5330" max="5330" width="51.75" style="24" customWidth="1"/>
    <col min="5331" max="5338" width="8.875" style="24" customWidth="1"/>
    <col min="5339" max="5375" width="9.125" style="24"/>
    <col min="5376" max="5376" width="10" style="24" customWidth="1"/>
    <col min="5377" max="5377" width="57.25" style="24" customWidth="1"/>
    <col min="5378" max="5380" width="11.625" style="24" customWidth="1"/>
    <col min="5381" max="5381" width="12.125" style="24" customWidth="1"/>
    <col min="5382" max="5383" width="11.875" style="24" customWidth="1"/>
    <col min="5384" max="5385" width="14.625" style="24" customWidth="1"/>
    <col min="5386" max="5582" width="8.875" style="24" customWidth="1"/>
    <col min="5583" max="5583" width="5.25" style="24" customWidth="1"/>
    <col min="5584" max="5584" width="6.125" style="24" customWidth="1"/>
    <col min="5585" max="5585" width="6.75" style="24" customWidth="1"/>
    <col min="5586" max="5586" width="51.75" style="24" customWidth="1"/>
    <col min="5587" max="5594" width="8.875" style="24" customWidth="1"/>
    <col min="5595" max="5631" width="9.125" style="24"/>
    <col min="5632" max="5632" width="10" style="24" customWidth="1"/>
    <col min="5633" max="5633" width="57.25" style="24" customWidth="1"/>
    <col min="5634" max="5636" width="11.625" style="24" customWidth="1"/>
    <col min="5637" max="5637" width="12.125" style="24" customWidth="1"/>
    <col min="5638" max="5639" width="11.875" style="24" customWidth="1"/>
    <col min="5640" max="5641" width="14.625" style="24" customWidth="1"/>
    <col min="5642" max="5838" width="8.875" style="24" customWidth="1"/>
    <col min="5839" max="5839" width="5.25" style="24" customWidth="1"/>
    <col min="5840" max="5840" width="6.125" style="24" customWidth="1"/>
    <col min="5841" max="5841" width="6.75" style="24" customWidth="1"/>
    <col min="5842" max="5842" width="51.75" style="24" customWidth="1"/>
    <col min="5843" max="5850" width="8.875" style="24" customWidth="1"/>
    <col min="5851" max="5887" width="9.125" style="24"/>
    <col min="5888" max="5888" width="10" style="24" customWidth="1"/>
    <col min="5889" max="5889" width="57.25" style="24" customWidth="1"/>
    <col min="5890" max="5892" width="11.625" style="24" customWidth="1"/>
    <col min="5893" max="5893" width="12.125" style="24" customWidth="1"/>
    <col min="5894" max="5895" width="11.875" style="24" customWidth="1"/>
    <col min="5896" max="5897" width="14.625" style="24" customWidth="1"/>
    <col min="5898" max="6094" width="8.875" style="24" customWidth="1"/>
    <col min="6095" max="6095" width="5.25" style="24" customWidth="1"/>
    <col min="6096" max="6096" width="6.125" style="24" customWidth="1"/>
    <col min="6097" max="6097" width="6.75" style="24" customWidth="1"/>
    <col min="6098" max="6098" width="51.75" style="24" customWidth="1"/>
    <col min="6099" max="6106" width="8.875" style="24" customWidth="1"/>
    <col min="6107" max="6143" width="9.125" style="24"/>
    <col min="6144" max="6144" width="10" style="24" customWidth="1"/>
    <col min="6145" max="6145" width="57.25" style="24" customWidth="1"/>
    <col min="6146" max="6148" width="11.625" style="24" customWidth="1"/>
    <col min="6149" max="6149" width="12.125" style="24" customWidth="1"/>
    <col min="6150" max="6151" width="11.875" style="24" customWidth="1"/>
    <col min="6152" max="6153" width="14.625" style="24" customWidth="1"/>
    <col min="6154" max="6350" width="8.875" style="24" customWidth="1"/>
    <col min="6351" max="6351" width="5.25" style="24" customWidth="1"/>
    <col min="6352" max="6352" width="6.125" style="24" customWidth="1"/>
    <col min="6353" max="6353" width="6.75" style="24" customWidth="1"/>
    <col min="6354" max="6354" width="51.75" style="24" customWidth="1"/>
    <col min="6355" max="6362" width="8.875" style="24" customWidth="1"/>
    <col min="6363" max="6399" width="9.125" style="24"/>
    <col min="6400" max="6400" width="10" style="24" customWidth="1"/>
    <col min="6401" max="6401" width="57.25" style="24" customWidth="1"/>
    <col min="6402" max="6404" width="11.625" style="24" customWidth="1"/>
    <col min="6405" max="6405" width="12.125" style="24" customWidth="1"/>
    <col min="6406" max="6407" width="11.875" style="24" customWidth="1"/>
    <col min="6408" max="6409" width="14.625" style="24" customWidth="1"/>
    <col min="6410" max="6606" width="8.875" style="24" customWidth="1"/>
    <col min="6607" max="6607" width="5.25" style="24" customWidth="1"/>
    <col min="6608" max="6608" width="6.125" style="24" customWidth="1"/>
    <col min="6609" max="6609" width="6.75" style="24" customWidth="1"/>
    <col min="6610" max="6610" width="51.75" style="24" customWidth="1"/>
    <col min="6611" max="6618" width="8.875" style="24" customWidth="1"/>
    <col min="6619" max="6655" width="9.125" style="24"/>
    <col min="6656" max="6656" width="10" style="24" customWidth="1"/>
    <col min="6657" max="6657" width="57.25" style="24" customWidth="1"/>
    <col min="6658" max="6660" width="11.625" style="24" customWidth="1"/>
    <col min="6661" max="6661" width="12.125" style="24" customWidth="1"/>
    <col min="6662" max="6663" width="11.875" style="24" customWidth="1"/>
    <col min="6664" max="6665" width="14.625" style="24" customWidth="1"/>
    <col min="6666" max="6862" width="8.875" style="24" customWidth="1"/>
    <col min="6863" max="6863" width="5.25" style="24" customWidth="1"/>
    <col min="6864" max="6864" width="6.125" style="24" customWidth="1"/>
    <col min="6865" max="6865" width="6.75" style="24" customWidth="1"/>
    <col min="6866" max="6866" width="51.75" style="24" customWidth="1"/>
    <col min="6867" max="6874" width="8.875" style="24" customWidth="1"/>
    <col min="6875" max="6911" width="9.125" style="24"/>
    <col min="6912" max="6912" width="10" style="24" customWidth="1"/>
    <col min="6913" max="6913" width="57.25" style="24" customWidth="1"/>
    <col min="6914" max="6916" width="11.625" style="24" customWidth="1"/>
    <col min="6917" max="6917" width="12.125" style="24" customWidth="1"/>
    <col min="6918" max="6919" width="11.875" style="24" customWidth="1"/>
    <col min="6920" max="6921" width="14.625" style="24" customWidth="1"/>
    <col min="6922" max="7118" width="8.875" style="24" customWidth="1"/>
    <col min="7119" max="7119" width="5.25" style="24" customWidth="1"/>
    <col min="7120" max="7120" width="6.125" style="24" customWidth="1"/>
    <col min="7121" max="7121" width="6.75" style="24" customWidth="1"/>
    <col min="7122" max="7122" width="51.75" style="24" customWidth="1"/>
    <col min="7123" max="7130" width="8.875" style="24" customWidth="1"/>
    <col min="7131" max="7167" width="9.125" style="24"/>
    <col min="7168" max="7168" width="10" style="24" customWidth="1"/>
    <col min="7169" max="7169" width="57.25" style="24" customWidth="1"/>
    <col min="7170" max="7172" width="11.625" style="24" customWidth="1"/>
    <col min="7173" max="7173" width="12.125" style="24" customWidth="1"/>
    <col min="7174" max="7175" width="11.875" style="24" customWidth="1"/>
    <col min="7176" max="7177" width="14.625" style="24" customWidth="1"/>
    <col min="7178" max="7374" width="8.875" style="24" customWidth="1"/>
    <col min="7375" max="7375" width="5.25" style="24" customWidth="1"/>
    <col min="7376" max="7376" width="6.125" style="24" customWidth="1"/>
    <col min="7377" max="7377" width="6.75" style="24" customWidth="1"/>
    <col min="7378" max="7378" width="51.75" style="24" customWidth="1"/>
    <col min="7379" max="7386" width="8.875" style="24" customWidth="1"/>
    <col min="7387" max="7423" width="9.125" style="24"/>
    <col min="7424" max="7424" width="10" style="24" customWidth="1"/>
    <col min="7425" max="7425" width="57.25" style="24" customWidth="1"/>
    <col min="7426" max="7428" width="11.625" style="24" customWidth="1"/>
    <col min="7429" max="7429" width="12.125" style="24" customWidth="1"/>
    <col min="7430" max="7431" width="11.875" style="24" customWidth="1"/>
    <col min="7432" max="7433" width="14.625" style="24" customWidth="1"/>
    <col min="7434" max="7630" width="8.875" style="24" customWidth="1"/>
    <col min="7631" max="7631" width="5.25" style="24" customWidth="1"/>
    <col min="7632" max="7632" width="6.125" style="24" customWidth="1"/>
    <col min="7633" max="7633" width="6.75" style="24" customWidth="1"/>
    <col min="7634" max="7634" width="51.75" style="24" customWidth="1"/>
    <col min="7635" max="7642" width="8.875" style="24" customWidth="1"/>
    <col min="7643" max="7679" width="9.125" style="24"/>
    <col min="7680" max="7680" width="10" style="24" customWidth="1"/>
    <col min="7681" max="7681" width="57.25" style="24" customWidth="1"/>
    <col min="7682" max="7684" width="11.625" style="24" customWidth="1"/>
    <col min="7685" max="7685" width="12.125" style="24" customWidth="1"/>
    <col min="7686" max="7687" width="11.875" style="24" customWidth="1"/>
    <col min="7688" max="7689" width="14.625" style="24" customWidth="1"/>
    <col min="7690" max="7886" width="8.875" style="24" customWidth="1"/>
    <col min="7887" max="7887" width="5.25" style="24" customWidth="1"/>
    <col min="7888" max="7888" width="6.125" style="24" customWidth="1"/>
    <col min="7889" max="7889" width="6.75" style="24" customWidth="1"/>
    <col min="7890" max="7890" width="51.75" style="24" customWidth="1"/>
    <col min="7891" max="7898" width="8.875" style="24" customWidth="1"/>
    <col min="7899" max="7935" width="9.125" style="24"/>
    <col min="7936" max="7936" width="10" style="24" customWidth="1"/>
    <col min="7937" max="7937" width="57.25" style="24" customWidth="1"/>
    <col min="7938" max="7940" width="11.625" style="24" customWidth="1"/>
    <col min="7941" max="7941" width="12.125" style="24" customWidth="1"/>
    <col min="7942" max="7943" width="11.875" style="24" customWidth="1"/>
    <col min="7944" max="7945" width="14.625" style="24" customWidth="1"/>
    <col min="7946" max="8142" width="8.875" style="24" customWidth="1"/>
    <col min="8143" max="8143" width="5.25" style="24" customWidth="1"/>
    <col min="8144" max="8144" width="6.125" style="24" customWidth="1"/>
    <col min="8145" max="8145" width="6.75" style="24" customWidth="1"/>
    <col min="8146" max="8146" width="51.75" style="24" customWidth="1"/>
    <col min="8147" max="8154" width="8.875" style="24" customWidth="1"/>
    <col min="8155" max="8191" width="9.125" style="24"/>
    <col min="8192" max="8192" width="10" style="24" customWidth="1"/>
    <col min="8193" max="8193" width="57.25" style="24" customWidth="1"/>
    <col min="8194" max="8196" width="11.625" style="24" customWidth="1"/>
    <col min="8197" max="8197" width="12.125" style="24" customWidth="1"/>
    <col min="8198" max="8199" width="11.875" style="24" customWidth="1"/>
    <col min="8200" max="8201" width="14.625" style="24" customWidth="1"/>
    <col min="8202" max="8398" width="8.875" style="24" customWidth="1"/>
    <col min="8399" max="8399" width="5.25" style="24" customWidth="1"/>
    <col min="8400" max="8400" width="6.125" style="24" customWidth="1"/>
    <col min="8401" max="8401" width="6.75" style="24" customWidth="1"/>
    <col min="8402" max="8402" width="51.75" style="24" customWidth="1"/>
    <col min="8403" max="8410" width="8.875" style="24" customWidth="1"/>
    <col min="8411" max="8447" width="9.125" style="24"/>
    <col min="8448" max="8448" width="10" style="24" customWidth="1"/>
    <col min="8449" max="8449" width="57.25" style="24" customWidth="1"/>
    <col min="8450" max="8452" width="11.625" style="24" customWidth="1"/>
    <col min="8453" max="8453" width="12.125" style="24" customWidth="1"/>
    <col min="8454" max="8455" width="11.875" style="24" customWidth="1"/>
    <col min="8456" max="8457" width="14.625" style="24" customWidth="1"/>
    <col min="8458" max="8654" width="8.875" style="24" customWidth="1"/>
    <col min="8655" max="8655" width="5.25" style="24" customWidth="1"/>
    <col min="8656" max="8656" width="6.125" style="24" customWidth="1"/>
    <col min="8657" max="8657" width="6.75" style="24" customWidth="1"/>
    <col min="8658" max="8658" width="51.75" style="24" customWidth="1"/>
    <col min="8659" max="8666" width="8.875" style="24" customWidth="1"/>
    <col min="8667" max="8703" width="9.125" style="24"/>
    <col min="8704" max="8704" width="10" style="24" customWidth="1"/>
    <col min="8705" max="8705" width="57.25" style="24" customWidth="1"/>
    <col min="8706" max="8708" width="11.625" style="24" customWidth="1"/>
    <col min="8709" max="8709" width="12.125" style="24" customWidth="1"/>
    <col min="8710" max="8711" width="11.875" style="24" customWidth="1"/>
    <col min="8712" max="8713" width="14.625" style="24" customWidth="1"/>
    <col min="8714" max="8910" width="8.875" style="24" customWidth="1"/>
    <col min="8911" max="8911" width="5.25" style="24" customWidth="1"/>
    <col min="8912" max="8912" width="6.125" style="24" customWidth="1"/>
    <col min="8913" max="8913" width="6.75" style="24" customWidth="1"/>
    <col min="8914" max="8914" width="51.75" style="24" customWidth="1"/>
    <col min="8915" max="8922" width="8.875" style="24" customWidth="1"/>
    <col min="8923" max="8959" width="9.125" style="24"/>
    <col min="8960" max="8960" width="10" style="24" customWidth="1"/>
    <col min="8961" max="8961" width="57.25" style="24" customWidth="1"/>
    <col min="8962" max="8964" width="11.625" style="24" customWidth="1"/>
    <col min="8965" max="8965" width="12.125" style="24" customWidth="1"/>
    <col min="8966" max="8967" width="11.875" style="24" customWidth="1"/>
    <col min="8968" max="8969" width="14.625" style="24" customWidth="1"/>
    <col min="8970" max="9166" width="8.875" style="24" customWidth="1"/>
    <col min="9167" max="9167" width="5.25" style="24" customWidth="1"/>
    <col min="9168" max="9168" width="6.125" style="24" customWidth="1"/>
    <col min="9169" max="9169" width="6.75" style="24" customWidth="1"/>
    <col min="9170" max="9170" width="51.75" style="24" customWidth="1"/>
    <col min="9171" max="9178" width="8.875" style="24" customWidth="1"/>
    <col min="9179" max="9215" width="9.125" style="24"/>
    <col min="9216" max="9216" width="10" style="24" customWidth="1"/>
    <col min="9217" max="9217" width="57.25" style="24" customWidth="1"/>
    <col min="9218" max="9220" width="11.625" style="24" customWidth="1"/>
    <col min="9221" max="9221" width="12.125" style="24" customWidth="1"/>
    <col min="9222" max="9223" width="11.875" style="24" customWidth="1"/>
    <col min="9224" max="9225" width="14.625" style="24" customWidth="1"/>
    <col min="9226" max="9422" width="8.875" style="24" customWidth="1"/>
    <col min="9423" max="9423" width="5.25" style="24" customWidth="1"/>
    <col min="9424" max="9424" width="6.125" style="24" customWidth="1"/>
    <col min="9425" max="9425" width="6.75" style="24" customWidth="1"/>
    <col min="9426" max="9426" width="51.75" style="24" customWidth="1"/>
    <col min="9427" max="9434" width="8.875" style="24" customWidth="1"/>
    <col min="9435" max="9471" width="9.125" style="24"/>
    <col min="9472" max="9472" width="10" style="24" customWidth="1"/>
    <col min="9473" max="9473" width="57.25" style="24" customWidth="1"/>
    <col min="9474" max="9476" width="11.625" style="24" customWidth="1"/>
    <col min="9477" max="9477" width="12.125" style="24" customWidth="1"/>
    <col min="9478" max="9479" width="11.875" style="24" customWidth="1"/>
    <col min="9480" max="9481" width="14.625" style="24" customWidth="1"/>
    <col min="9482" max="9678" width="8.875" style="24" customWidth="1"/>
    <col min="9679" max="9679" width="5.25" style="24" customWidth="1"/>
    <col min="9680" max="9680" width="6.125" style="24" customWidth="1"/>
    <col min="9681" max="9681" width="6.75" style="24" customWidth="1"/>
    <col min="9682" max="9682" width="51.75" style="24" customWidth="1"/>
    <col min="9683" max="9690" width="8.875" style="24" customWidth="1"/>
    <col min="9691" max="9727" width="9.125" style="24"/>
    <col min="9728" max="9728" width="10" style="24" customWidth="1"/>
    <col min="9729" max="9729" width="57.25" style="24" customWidth="1"/>
    <col min="9730" max="9732" width="11.625" style="24" customWidth="1"/>
    <col min="9733" max="9733" width="12.125" style="24" customWidth="1"/>
    <col min="9734" max="9735" width="11.875" style="24" customWidth="1"/>
    <col min="9736" max="9737" width="14.625" style="24" customWidth="1"/>
    <col min="9738" max="9934" width="8.875" style="24" customWidth="1"/>
    <col min="9935" max="9935" width="5.25" style="24" customWidth="1"/>
    <col min="9936" max="9936" width="6.125" style="24" customWidth="1"/>
    <col min="9937" max="9937" width="6.75" style="24" customWidth="1"/>
    <col min="9938" max="9938" width="51.75" style="24" customWidth="1"/>
    <col min="9939" max="9946" width="8.875" style="24" customWidth="1"/>
    <col min="9947" max="9983" width="9.125" style="24"/>
    <col min="9984" max="9984" width="10" style="24" customWidth="1"/>
    <col min="9985" max="9985" width="57.25" style="24" customWidth="1"/>
    <col min="9986" max="9988" width="11.625" style="24" customWidth="1"/>
    <col min="9989" max="9989" width="12.125" style="24" customWidth="1"/>
    <col min="9990" max="9991" width="11.875" style="24" customWidth="1"/>
    <col min="9992" max="9993" width="14.625" style="24" customWidth="1"/>
    <col min="9994" max="10190" width="8.875" style="24" customWidth="1"/>
    <col min="10191" max="10191" width="5.25" style="24" customWidth="1"/>
    <col min="10192" max="10192" width="6.125" style="24" customWidth="1"/>
    <col min="10193" max="10193" width="6.75" style="24" customWidth="1"/>
    <col min="10194" max="10194" width="51.75" style="24" customWidth="1"/>
    <col min="10195" max="10202" width="8.875" style="24" customWidth="1"/>
    <col min="10203" max="10239" width="9.125" style="24"/>
    <col min="10240" max="10240" width="10" style="24" customWidth="1"/>
    <col min="10241" max="10241" width="57.25" style="24" customWidth="1"/>
    <col min="10242" max="10244" width="11.625" style="24" customWidth="1"/>
    <col min="10245" max="10245" width="12.125" style="24" customWidth="1"/>
    <col min="10246" max="10247" width="11.875" style="24" customWidth="1"/>
    <col min="10248" max="10249" width="14.625" style="24" customWidth="1"/>
    <col min="10250" max="10446" width="8.875" style="24" customWidth="1"/>
    <col min="10447" max="10447" width="5.25" style="24" customWidth="1"/>
    <col min="10448" max="10448" width="6.125" style="24" customWidth="1"/>
    <col min="10449" max="10449" width="6.75" style="24" customWidth="1"/>
    <col min="10450" max="10450" width="51.75" style="24" customWidth="1"/>
    <col min="10451" max="10458" width="8.875" style="24" customWidth="1"/>
    <col min="10459" max="10495" width="9.125" style="24"/>
    <col min="10496" max="10496" width="10" style="24" customWidth="1"/>
    <col min="10497" max="10497" width="57.25" style="24" customWidth="1"/>
    <col min="10498" max="10500" width="11.625" style="24" customWidth="1"/>
    <col min="10501" max="10501" width="12.125" style="24" customWidth="1"/>
    <col min="10502" max="10503" width="11.875" style="24" customWidth="1"/>
    <col min="10504" max="10505" width="14.625" style="24" customWidth="1"/>
    <col min="10506" max="10702" width="8.875" style="24" customWidth="1"/>
    <col min="10703" max="10703" width="5.25" style="24" customWidth="1"/>
    <col min="10704" max="10704" width="6.125" style="24" customWidth="1"/>
    <col min="10705" max="10705" width="6.75" style="24" customWidth="1"/>
    <col min="10706" max="10706" width="51.75" style="24" customWidth="1"/>
    <col min="10707" max="10714" width="8.875" style="24" customWidth="1"/>
    <col min="10715" max="10751" width="9.125" style="24"/>
    <col min="10752" max="10752" width="10" style="24" customWidth="1"/>
    <col min="10753" max="10753" width="57.25" style="24" customWidth="1"/>
    <col min="10754" max="10756" width="11.625" style="24" customWidth="1"/>
    <col min="10757" max="10757" width="12.125" style="24" customWidth="1"/>
    <col min="10758" max="10759" width="11.875" style="24" customWidth="1"/>
    <col min="10760" max="10761" width="14.625" style="24" customWidth="1"/>
    <col min="10762" max="10958" width="8.875" style="24" customWidth="1"/>
    <col min="10959" max="10959" width="5.25" style="24" customWidth="1"/>
    <col min="10960" max="10960" width="6.125" style="24" customWidth="1"/>
    <col min="10961" max="10961" width="6.75" style="24" customWidth="1"/>
    <col min="10962" max="10962" width="51.75" style="24" customWidth="1"/>
    <col min="10963" max="10970" width="8.875" style="24" customWidth="1"/>
    <col min="10971" max="11007" width="9.125" style="24"/>
    <col min="11008" max="11008" width="10" style="24" customWidth="1"/>
    <col min="11009" max="11009" width="57.25" style="24" customWidth="1"/>
    <col min="11010" max="11012" width="11.625" style="24" customWidth="1"/>
    <col min="11013" max="11013" width="12.125" style="24" customWidth="1"/>
    <col min="11014" max="11015" width="11.875" style="24" customWidth="1"/>
    <col min="11016" max="11017" width="14.625" style="24" customWidth="1"/>
    <col min="11018" max="11214" width="8.875" style="24" customWidth="1"/>
    <col min="11215" max="11215" width="5.25" style="24" customWidth="1"/>
    <col min="11216" max="11216" width="6.125" style="24" customWidth="1"/>
    <col min="11217" max="11217" width="6.75" style="24" customWidth="1"/>
    <col min="11218" max="11218" width="51.75" style="24" customWidth="1"/>
    <col min="11219" max="11226" width="8.875" style="24" customWidth="1"/>
    <col min="11227" max="11263" width="9.125" style="24"/>
    <col min="11264" max="11264" width="10" style="24" customWidth="1"/>
    <col min="11265" max="11265" width="57.25" style="24" customWidth="1"/>
    <col min="11266" max="11268" width="11.625" style="24" customWidth="1"/>
    <col min="11269" max="11269" width="12.125" style="24" customWidth="1"/>
    <col min="11270" max="11271" width="11.875" style="24" customWidth="1"/>
    <col min="11272" max="11273" width="14.625" style="24" customWidth="1"/>
    <col min="11274" max="11470" width="8.875" style="24" customWidth="1"/>
    <col min="11471" max="11471" width="5.25" style="24" customWidth="1"/>
    <col min="11472" max="11472" width="6.125" style="24" customWidth="1"/>
    <col min="11473" max="11473" width="6.75" style="24" customWidth="1"/>
    <col min="11474" max="11474" width="51.75" style="24" customWidth="1"/>
    <col min="11475" max="11482" width="8.875" style="24" customWidth="1"/>
    <col min="11483" max="11519" width="9.125" style="24"/>
    <col min="11520" max="11520" width="10" style="24" customWidth="1"/>
    <col min="11521" max="11521" width="57.25" style="24" customWidth="1"/>
    <col min="11522" max="11524" width="11.625" style="24" customWidth="1"/>
    <col min="11525" max="11525" width="12.125" style="24" customWidth="1"/>
    <col min="11526" max="11527" width="11.875" style="24" customWidth="1"/>
    <col min="11528" max="11529" width="14.625" style="24" customWidth="1"/>
    <col min="11530" max="11726" width="8.875" style="24" customWidth="1"/>
    <col min="11727" max="11727" width="5.25" style="24" customWidth="1"/>
    <col min="11728" max="11728" width="6.125" style="24" customWidth="1"/>
    <col min="11729" max="11729" width="6.75" style="24" customWidth="1"/>
    <col min="11730" max="11730" width="51.75" style="24" customWidth="1"/>
    <col min="11731" max="11738" width="8.875" style="24" customWidth="1"/>
    <col min="11739" max="11775" width="9.125" style="24"/>
    <col min="11776" max="11776" width="10" style="24" customWidth="1"/>
    <col min="11777" max="11777" width="57.25" style="24" customWidth="1"/>
    <col min="11778" max="11780" width="11.625" style="24" customWidth="1"/>
    <col min="11781" max="11781" width="12.125" style="24" customWidth="1"/>
    <col min="11782" max="11783" width="11.875" style="24" customWidth="1"/>
    <col min="11784" max="11785" width="14.625" style="24" customWidth="1"/>
    <col min="11786" max="11982" width="8.875" style="24" customWidth="1"/>
    <col min="11983" max="11983" width="5.25" style="24" customWidth="1"/>
    <col min="11984" max="11984" width="6.125" style="24" customWidth="1"/>
    <col min="11985" max="11985" width="6.75" style="24" customWidth="1"/>
    <col min="11986" max="11986" width="51.75" style="24" customWidth="1"/>
    <col min="11987" max="11994" width="8.875" style="24" customWidth="1"/>
    <col min="11995" max="12031" width="9.125" style="24"/>
    <col min="12032" max="12032" width="10" style="24" customWidth="1"/>
    <col min="12033" max="12033" width="57.25" style="24" customWidth="1"/>
    <col min="12034" max="12036" width="11.625" style="24" customWidth="1"/>
    <col min="12037" max="12037" width="12.125" style="24" customWidth="1"/>
    <col min="12038" max="12039" width="11.875" style="24" customWidth="1"/>
    <col min="12040" max="12041" width="14.625" style="24" customWidth="1"/>
    <col min="12042" max="12238" width="8.875" style="24" customWidth="1"/>
    <col min="12239" max="12239" width="5.25" style="24" customWidth="1"/>
    <col min="12240" max="12240" width="6.125" style="24" customWidth="1"/>
    <col min="12241" max="12241" width="6.75" style="24" customWidth="1"/>
    <col min="12242" max="12242" width="51.75" style="24" customWidth="1"/>
    <col min="12243" max="12250" width="8.875" style="24" customWidth="1"/>
    <col min="12251" max="12287" width="9.125" style="24"/>
    <col min="12288" max="12288" width="10" style="24" customWidth="1"/>
    <col min="12289" max="12289" width="57.25" style="24" customWidth="1"/>
    <col min="12290" max="12292" width="11.625" style="24" customWidth="1"/>
    <col min="12293" max="12293" width="12.125" style="24" customWidth="1"/>
    <col min="12294" max="12295" width="11.875" style="24" customWidth="1"/>
    <col min="12296" max="12297" width="14.625" style="24" customWidth="1"/>
    <col min="12298" max="12494" width="8.875" style="24" customWidth="1"/>
    <col min="12495" max="12495" width="5.25" style="24" customWidth="1"/>
    <col min="12496" max="12496" width="6.125" style="24" customWidth="1"/>
    <col min="12497" max="12497" width="6.75" style="24" customWidth="1"/>
    <col min="12498" max="12498" width="51.75" style="24" customWidth="1"/>
    <col min="12499" max="12506" width="8.875" style="24" customWidth="1"/>
    <col min="12507" max="12543" width="9.125" style="24"/>
    <col min="12544" max="12544" width="10" style="24" customWidth="1"/>
    <col min="12545" max="12545" width="57.25" style="24" customWidth="1"/>
    <col min="12546" max="12548" width="11.625" style="24" customWidth="1"/>
    <col min="12549" max="12549" width="12.125" style="24" customWidth="1"/>
    <col min="12550" max="12551" width="11.875" style="24" customWidth="1"/>
    <col min="12552" max="12553" width="14.625" style="24" customWidth="1"/>
    <col min="12554" max="12750" width="8.875" style="24" customWidth="1"/>
    <col min="12751" max="12751" width="5.25" style="24" customWidth="1"/>
    <col min="12752" max="12752" width="6.125" style="24" customWidth="1"/>
    <col min="12753" max="12753" width="6.75" style="24" customWidth="1"/>
    <col min="12754" max="12754" width="51.75" style="24" customWidth="1"/>
    <col min="12755" max="12762" width="8.875" style="24" customWidth="1"/>
    <col min="12763" max="12799" width="9.125" style="24"/>
    <col min="12800" max="12800" width="10" style="24" customWidth="1"/>
    <col min="12801" max="12801" width="57.25" style="24" customWidth="1"/>
    <col min="12802" max="12804" width="11.625" style="24" customWidth="1"/>
    <col min="12805" max="12805" width="12.125" style="24" customWidth="1"/>
    <col min="12806" max="12807" width="11.875" style="24" customWidth="1"/>
    <col min="12808" max="12809" width="14.625" style="24" customWidth="1"/>
    <col min="12810" max="13006" width="8.875" style="24" customWidth="1"/>
    <col min="13007" max="13007" width="5.25" style="24" customWidth="1"/>
    <col min="13008" max="13008" width="6.125" style="24" customWidth="1"/>
    <col min="13009" max="13009" width="6.75" style="24" customWidth="1"/>
    <col min="13010" max="13010" width="51.75" style="24" customWidth="1"/>
    <col min="13011" max="13018" width="8.875" style="24" customWidth="1"/>
    <col min="13019" max="13055" width="9.125" style="24"/>
    <col min="13056" max="13056" width="10" style="24" customWidth="1"/>
    <col min="13057" max="13057" width="57.25" style="24" customWidth="1"/>
    <col min="13058" max="13060" width="11.625" style="24" customWidth="1"/>
    <col min="13061" max="13061" width="12.125" style="24" customWidth="1"/>
    <col min="13062" max="13063" width="11.875" style="24" customWidth="1"/>
    <col min="13064" max="13065" width="14.625" style="24" customWidth="1"/>
    <col min="13066" max="13262" width="8.875" style="24" customWidth="1"/>
    <col min="13263" max="13263" width="5.25" style="24" customWidth="1"/>
    <col min="13264" max="13264" width="6.125" style="24" customWidth="1"/>
    <col min="13265" max="13265" width="6.75" style="24" customWidth="1"/>
    <col min="13266" max="13266" width="51.75" style="24" customWidth="1"/>
    <col min="13267" max="13274" width="8.875" style="24" customWidth="1"/>
    <col min="13275" max="13311" width="9.125" style="24"/>
    <col min="13312" max="13312" width="10" style="24" customWidth="1"/>
    <col min="13313" max="13313" width="57.25" style="24" customWidth="1"/>
    <col min="13314" max="13316" width="11.625" style="24" customWidth="1"/>
    <col min="13317" max="13317" width="12.125" style="24" customWidth="1"/>
    <col min="13318" max="13319" width="11.875" style="24" customWidth="1"/>
    <col min="13320" max="13321" width="14.625" style="24" customWidth="1"/>
    <col min="13322" max="13518" width="8.875" style="24" customWidth="1"/>
    <col min="13519" max="13519" width="5.25" style="24" customWidth="1"/>
    <col min="13520" max="13520" width="6.125" style="24" customWidth="1"/>
    <col min="13521" max="13521" width="6.75" style="24" customWidth="1"/>
    <col min="13522" max="13522" width="51.75" style="24" customWidth="1"/>
    <col min="13523" max="13530" width="8.875" style="24" customWidth="1"/>
    <col min="13531" max="13567" width="9.125" style="24"/>
    <col min="13568" max="13568" width="10" style="24" customWidth="1"/>
    <col min="13569" max="13569" width="57.25" style="24" customWidth="1"/>
    <col min="13570" max="13572" width="11.625" style="24" customWidth="1"/>
    <col min="13573" max="13573" width="12.125" style="24" customWidth="1"/>
    <col min="13574" max="13575" width="11.875" style="24" customWidth="1"/>
    <col min="13576" max="13577" width="14.625" style="24" customWidth="1"/>
    <col min="13578" max="13774" width="8.875" style="24" customWidth="1"/>
    <col min="13775" max="13775" width="5.25" style="24" customWidth="1"/>
    <col min="13776" max="13776" width="6.125" style="24" customWidth="1"/>
    <col min="13777" max="13777" width="6.75" style="24" customWidth="1"/>
    <col min="13778" max="13778" width="51.75" style="24" customWidth="1"/>
    <col min="13779" max="13786" width="8.875" style="24" customWidth="1"/>
    <col min="13787" max="13823" width="9.125" style="24"/>
    <col min="13824" max="13824" width="10" style="24" customWidth="1"/>
    <col min="13825" max="13825" width="57.25" style="24" customWidth="1"/>
    <col min="13826" max="13828" width="11.625" style="24" customWidth="1"/>
    <col min="13829" max="13829" width="12.125" style="24" customWidth="1"/>
    <col min="13830" max="13831" width="11.875" style="24" customWidth="1"/>
    <col min="13832" max="13833" width="14.625" style="24" customWidth="1"/>
    <col min="13834" max="14030" width="8.875" style="24" customWidth="1"/>
    <col min="14031" max="14031" width="5.25" style="24" customWidth="1"/>
    <col min="14032" max="14032" width="6.125" style="24" customWidth="1"/>
    <col min="14033" max="14033" width="6.75" style="24" customWidth="1"/>
    <col min="14034" max="14034" width="51.75" style="24" customWidth="1"/>
    <col min="14035" max="14042" width="8.875" style="24" customWidth="1"/>
    <col min="14043" max="14079" width="9.125" style="24"/>
    <col min="14080" max="14080" width="10" style="24" customWidth="1"/>
    <col min="14081" max="14081" width="57.25" style="24" customWidth="1"/>
    <col min="14082" max="14084" width="11.625" style="24" customWidth="1"/>
    <col min="14085" max="14085" width="12.125" style="24" customWidth="1"/>
    <col min="14086" max="14087" width="11.875" style="24" customWidth="1"/>
    <col min="14088" max="14089" width="14.625" style="24" customWidth="1"/>
    <col min="14090" max="14286" width="8.875" style="24" customWidth="1"/>
    <col min="14287" max="14287" width="5.25" style="24" customWidth="1"/>
    <col min="14288" max="14288" width="6.125" style="24" customWidth="1"/>
    <col min="14289" max="14289" width="6.75" style="24" customWidth="1"/>
    <col min="14290" max="14290" width="51.75" style="24" customWidth="1"/>
    <col min="14291" max="14298" width="8.875" style="24" customWidth="1"/>
    <col min="14299" max="14335" width="9.125" style="24"/>
    <col min="14336" max="14336" width="10" style="24" customWidth="1"/>
    <col min="14337" max="14337" width="57.25" style="24" customWidth="1"/>
    <col min="14338" max="14340" width="11.625" style="24" customWidth="1"/>
    <col min="14341" max="14341" width="12.125" style="24" customWidth="1"/>
    <col min="14342" max="14343" width="11.875" style="24" customWidth="1"/>
    <col min="14344" max="14345" width="14.625" style="24" customWidth="1"/>
    <col min="14346" max="14542" width="8.875" style="24" customWidth="1"/>
    <col min="14543" max="14543" width="5.25" style="24" customWidth="1"/>
    <col min="14544" max="14544" width="6.125" style="24" customWidth="1"/>
    <col min="14545" max="14545" width="6.75" style="24" customWidth="1"/>
    <col min="14546" max="14546" width="51.75" style="24" customWidth="1"/>
    <col min="14547" max="14554" width="8.875" style="24" customWidth="1"/>
    <col min="14555" max="14591" width="9.125" style="24"/>
    <col min="14592" max="14592" width="10" style="24" customWidth="1"/>
    <col min="14593" max="14593" width="57.25" style="24" customWidth="1"/>
    <col min="14594" max="14596" width="11.625" style="24" customWidth="1"/>
    <col min="14597" max="14597" width="12.125" style="24" customWidth="1"/>
    <col min="14598" max="14599" width="11.875" style="24" customWidth="1"/>
    <col min="14600" max="14601" width="14.625" style="24" customWidth="1"/>
    <col min="14602" max="14798" width="8.875" style="24" customWidth="1"/>
    <col min="14799" max="14799" width="5.25" style="24" customWidth="1"/>
    <col min="14800" max="14800" width="6.125" style="24" customWidth="1"/>
    <col min="14801" max="14801" width="6.75" style="24" customWidth="1"/>
    <col min="14802" max="14802" width="51.75" style="24" customWidth="1"/>
    <col min="14803" max="14810" width="8.875" style="24" customWidth="1"/>
    <col min="14811" max="14847" width="9.125" style="24"/>
    <col min="14848" max="14848" width="10" style="24" customWidth="1"/>
    <col min="14849" max="14849" width="57.25" style="24" customWidth="1"/>
    <col min="14850" max="14852" width="11.625" style="24" customWidth="1"/>
    <col min="14853" max="14853" width="12.125" style="24" customWidth="1"/>
    <col min="14854" max="14855" width="11.875" style="24" customWidth="1"/>
    <col min="14856" max="14857" width="14.625" style="24" customWidth="1"/>
    <col min="14858" max="15054" width="8.875" style="24" customWidth="1"/>
    <col min="15055" max="15055" width="5.25" style="24" customWidth="1"/>
    <col min="15056" max="15056" width="6.125" style="24" customWidth="1"/>
    <col min="15057" max="15057" width="6.75" style="24" customWidth="1"/>
    <col min="15058" max="15058" width="51.75" style="24" customWidth="1"/>
    <col min="15059" max="15066" width="8.875" style="24" customWidth="1"/>
    <col min="15067" max="15103" width="9.125" style="24"/>
    <col min="15104" max="15104" width="10" style="24" customWidth="1"/>
    <col min="15105" max="15105" width="57.25" style="24" customWidth="1"/>
    <col min="15106" max="15108" width="11.625" style="24" customWidth="1"/>
    <col min="15109" max="15109" width="12.125" style="24" customWidth="1"/>
    <col min="15110" max="15111" width="11.875" style="24" customWidth="1"/>
    <col min="15112" max="15113" width="14.625" style="24" customWidth="1"/>
    <col min="15114" max="15310" width="8.875" style="24" customWidth="1"/>
    <col min="15311" max="15311" width="5.25" style="24" customWidth="1"/>
    <col min="15312" max="15312" width="6.125" style="24" customWidth="1"/>
    <col min="15313" max="15313" width="6.75" style="24" customWidth="1"/>
    <col min="15314" max="15314" width="51.75" style="24" customWidth="1"/>
    <col min="15315" max="15322" width="8.875" style="24" customWidth="1"/>
    <col min="15323" max="15359" width="9.125" style="24"/>
    <col min="15360" max="15360" width="10" style="24" customWidth="1"/>
    <col min="15361" max="15361" width="57.25" style="24" customWidth="1"/>
    <col min="15362" max="15364" width="11.625" style="24" customWidth="1"/>
    <col min="15365" max="15365" width="12.125" style="24" customWidth="1"/>
    <col min="15366" max="15367" width="11.875" style="24" customWidth="1"/>
    <col min="15368" max="15369" width="14.625" style="24" customWidth="1"/>
    <col min="15370" max="15566" width="8.875" style="24" customWidth="1"/>
    <col min="15567" max="15567" width="5.25" style="24" customWidth="1"/>
    <col min="15568" max="15568" width="6.125" style="24" customWidth="1"/>
    <col min="15569" max="15569" width="6.75" style="24" customWidth="1"/>
    <col min="15570" max="15570" width="51.75" style="24" customWidth="1"/>
    <col min="15571" max="15578" width="8.875" style="24" customWidth="1"/>
    <col min="15579" max="15615" width="9.125" style="24"/>
    <col min="15616" max="15616" width="10" style="24" customWidth="1"/>
    <col min="15617" max="15617" width="57.25" style="24" customWidth="1"/>
    <col min="15618" max="15620" width="11.625" style="24" customWidth="1"/>
    <col min="15621" max="15621" width="12.125" style="24" customWidth="1"/>
    <col min="15622" max="15623" width="11.875" style="24" customWidth="1"/>
    <col min="15624" max="15625" width="14.625" style="24" customWidth="1"/>
    <col min="15626" max="15822" width="8.875" style="24" customWidth="1"/>
    <col min="15823" max="15823" width="5.25" style="24" customWidth="1"/>
    <col min="15824" max="15824" width="6.125" style="24" customWidth="1"/>
    <col min="15825" max="15825" width="6.75" style="24" customWidth="1"/>
    <col min="15826" max="15826" width="51.75" style="24" customWidth="1"/>
    <col min="15827" max="15834" width="8.875" style="24" customWidth="1"/>
    <col min="15835" max="15871" width="9.125" style="24"/>
    <col min="15872" max="15872" width="10" style="24" customWidth="1"/>
    <col min="15873" max="15873" width="57.25" style="24" customWidth="1"/>
    <col min="15874" max="15876" width="11.625" style="24" customWidth="1"/>
    <col min="15877" max="15877" width="12.125" style="24" customWidth="1"/>
    <col min="15878" max="15879" width="11.875" style="24" customWidth="1"/>
    <col min="15880" max="15881" width="14.625" style="24" customWidth="1"/>
    <col min="15882" max="16078" width="8.875" style="24" customWidth="1"/>
    <col min="16079" max="16079" width="5.25" style="24" customWidth="1"/>
    <col min="16080" max="16080" width="6.125" style="24" customWidth="1"/>
    <col min="16081" max="16081" width="6.75" style="24" customWidth="1"/>
    <col min="16082" max="16082" width="51.75" style="24" customWidth="1"/>
    <col min="16083" max="16090" width="8.875" style="24" customWidth="1"/>
    <col min="16091" max="16127" width="9.125" style="24"/>
    <col min="16128" max="16128" width="10" style="24" customWidth="1"/>
    <col min="16129" max="16129" width="57.25" style="24" customWidth="1"/>
    <col min="16130" max="16132" width="11.625" style="24" customWidth="1"/>
    <col min="16133" max="16133" width="12.125" style="24" customWidth="1"/>
    <col min="16134" max="16135" width="11.875" style="24" customWidth="1"/>
    <col min="16136" max="16137" width="14.625" style="24" customWidth="1"/>
    <col min="16138" max="16334" width="8.875" style="24" customWidth="1"/>
    <col min="16335" max="16335" width="5.25" style="24" customWidth="1"/>
    <col min="16336" max="16336" width="6.125" style="24" customWidth="1"/>
    <col min="16337" max="16337" width="6.75" style="24" customWidth="1"/>
    <col min="16338" max="16338" width="51.75" style="24" customWidth="1"/>
    <col min="16339" max="16346" width="8.875" style="24" customWidth="1"/>
    <col min="16347" max="16384" width="9.125" style="24"/>
  </cols>
  <sheetData>
    <row r="1" spans="1:15" s="25" customFormat="1" ht="15.75" x14ac:dyDescent="0.25">
      <c r="A1" s="50"/>
      <c r="B1" s="51" t="s">
        <v>66</v>
      </c>
      <c r="C1" s="52"/>
      <c r="D1" s="52"/>
      <c r="E1" s="52"/>
      <c r="F1" s="26"/>
      <c r="G1" s="53"/>
      <c r="H1" s="53"/>
      <c r="I1" s="53"/>
      <c r="J1" s="26"/>
      <c r="K1" s="26"/>
      <c r="L1" s="26"/>
      <c r="M1" s="26"/>
      <c r="N1" s="26"/>
      <c r="O1" s="26"/>
    </row>
    <row r="2" spans="1:15" s="25" customFormat="1" ht="15.75" x14ac:dyDescent="0.25">
      <c r="A2" s="50"/>
      <c r="B2" s="26"/>
      <c r="C2" s="26"/>
      <c r="D2" s="26"/>
      <c r="E2" s="26"/>
      <c r="F2" s="26"/>
      <c r="G2" s="53"/>
      <c r="H2" s="53"/>
      <c r="I2" s="53"/>
      <c r="J2" s="26"/>
      <c r="K2" s="26"/>
      <c r="L2" s="26"/>
      <c r="M2" s="26"/>
      <c r="N2" s="26"/>
      <c r="O2" s="26"/>
    </row>
    <row r="3" spans="1:15" s="25" customFormat="1" ht="15.75" x14ac:dyDescent="0.25">
      <c r="A3" s="344" t="s">
        <v>68</v>
      </c>
      <c r="B3" s="344"/>
      <c r="C3" s="344"/>
      <c r="D3" s="344"/>
      <c r="E3" s="344"/>
      <c r="F3" s="344"/>
      <c r="G3" s="53"/>
      <c r="H3" s="53"/>
      <c r="I3" s="53"/>
      <c r="J3" s="26"/>
      <c r="K3" s="26"/>
      <c r="L3" s="26"/>
      <c r="M3" s="26"/>
      <c r="N3" s="26"/>
      <c r="O3" s="26"/>
    </row>
    <row r="4" spans="1:15" ht="20.25" x14ac:dyDescent="0.3">
      <c r="C4" s="30"/>
      <c r="D4" s="30"/>
      <c r="E4" s="30"/>
      <c r="F4" s="30"/>
      <c r="G4" s="47"/>
      <c r="H4" s="47"/>
      <c r="I4" s="47"/>
      <c r="J4" s="30"/>
      <c r="K4" s="30"/>
      <c r="L4" s="30"/>
      <c r="M4" s="30"/>
      <c r="N4" s="30"/>
      <c r="O4" s="26"/>
    </row>
    <row r="5" spans="1:15" s="46" customFormat="1" ht="42.75" x14ac:dyDescent="0.2">
      <c r="A5" s="54" t="s">
        <v>0</v>
      </c>
      <c r="B5" s="55" t="s">
        <v>69</v>
      </c>
      <c r="C5" s="56" t="s">
        <v>16</v>
      </c>
      <c r="D5" s="56" t="s">
        <v>106</v>
      </c>
      <c r="E5" s="57" t="s">
        <v>107</v>
      </c>
      <c r="F5" s="57" t="s">
        <v>108</v>
      </c>
      <c r="G5" s="58" t="s">
        <v>109</v>
      </c>
      <c r="H5" s="58" t="s">
        <v>110</v>
      </c>
      <c r="I5" s="58" t="s">
        <v>111</v>
      </c>
    </row>
    <row r="6" spans="1:15" s="45" customFormat="1" ht="11.25" x14ac:dyDescent="0.2">
      <c r="A6" s="33" t="s">
        <v>7</v>
      </c>
      <c r="B6" s="33" t="s">
        <v>8</v>
      </c>
      <c r="C6" s="59"/>
      <c r="D6" s="59"/>
      <c r="E6" s="59"/>
      <c r="F6" s="59"/>
      <c r="G6" s="60"/>
      <c r="H6" s="60"/>
      <c r="I6" s="60"/>
    </row>
    <row r="7" spans="1:15" s="45" customFormat="1" ht="37.5" x14ac:dyDescent="0.2">
      <c r="A7" s="61" t="s">
        <v>10</v>
      </c>
      <c r="B7" s="62" t="s">
        <v>112</v>
      </c>
      <c r="C7" s="63"/>
      <c r="D7" s="63"/>
      <c r="E7" s="63"/>
      <c r="F7" s="64"/>
      <c r="G7" s="65"/>
      <c r="H7" s="66"/>
      <c r="I7" s="66"/>
    </row>
    <row r="8" spans="1:15" s="46" customFormat="1" ht="18.75" x14ac:dyDescent="0.2">
      <c r="A8" s="67">
        <v>1</v>
      </c>
      <c r="B8" s="68" t="s">
        <v>94</v>
      </c>
      <c r="C8" s="69">
        <v>339178</v>
      </c>
      <c r="D8" s="69">
        <v>28844</v>
      </c>
      <c r="E8" s="69">
        <v>499482</v>
      </c>
      <c r="F8" s="70">
        <v>867500</v>
      </c>
      <c r="G8" s="71">
        <f>+E8/1800000*2340000</f>
        <v>649326.6</v>
      </c>
      <c r="H8" s="48">
        <f>+C8+G8+D8</f>
        <v>1017348.6</v>
      </c>
      <c r="I8" s="48">
        <f>ROUNDDOWN(H8,-2)</f>
        <v>1017300</v>
      </c>
    </row>
    <row r="9" spans="1:15" s="46" customFormat="1" ht="18.75" x14ac:dyDescent="0.2">
      <c r="A9" s="67">
        <v>2</v>
      </c>
      <c r="B9" s="68" t="s">
        <v>71</v>
      </c>
      <c r="C9" s="69">
        <v>181010</v>
      </c>
      <c r="D9" s="69">
        <v>28844</v>
      </c>
      <c r="E9" s="69">
        <v>299692.17391304346</v>
      </c>
      <c r="F9" s="70">
        <v>509500</v>
      </c>
      <c r="G9" s="71">
        <f t="shared" ref="G9:G66" si="0">+E9/1800000*2340000</f>
        <v>389599.82608695654</v>
      </c>
      <c r="H9" s="48">
        <f t="shared" ref="H9:H66" si="1">+C9+G9+D9</f>
        <v>599453.82608695654</v>
      </c>
      <c r="I9" s="48">
        <f t="shared" ref="I9:I66" si="2">ROUNDDOWN(H9,-2)</f>
        <v>599400</v>
      </c>
    </row>
    <row r="10" spans="1:15" s="46" customFormat="1" ht="18.75" x14ac:dyDescent="0.2">
      <c r="A10" s="67">
        <v>3</v>
      </c>
      <c r="B10" s="72" t="s">
        <v>72</v>
      </c>
      <c r="C10" s="69"/>
      <c r="D10" s="69"/>
      <c r="E10" s="69"/>
      <c r="F10" s="70"/>
      <c r="G10" s="71">
        <f t="shared" si="0"/>
        <v>0</v>
      </c>
      <c r="H10" s="48">
        <f t="shared" si="1"/>
        <v>0</v>
      </c>
      <c r="I10" s="48">
        <f t="shared" si="2"/>
        <v>0</v>
      </c>
    </row>
    <row r="11" spans="1:15" s="46" customFormat="1" ht="47.25" x14ac:dyDescent="0.2">
      <c r="A11" s="73" t="s">
        <v>73</v>
      </c>
      <c r="B11" s="72" t="s">
        <v>113</v>
      </c>
      <c r="C11" s="69">
        <v>73449</v>
      </c>
      <c r="D11" s="69">
        <v>19929</v>
      </c>
      <c r="E11" s="69">
        <v>179816</v>
      </c>
      <c r="F11" s="70">
        <v>273100</v>
      </c>
      <c r="G11" s="71">
        <f t="shared" si="0"/>
        <v>233760.80000000002</v>
      </c>
      <c r="H11" s="48">
        <f t="shared" si="1"/>
        <v>327138.80000000005</v>
      </c>
      <c r="I11" s="48">
        <f t="shared" si="2"/>
        <v>327100</v>
      </c>
    </row>
    <row r="12" spans="1:15" s="46" customFormat="1" ht="47.25" x14ac:dyDescent="0.2">
      <c r="A12" s="74" t="s">
        <v>76</v>
      </c>
      <c r="B12" s="72" t="s">
        <v>114</v>
      </c>
      <c r="C12" s="69">
        <v>67516</v>
      </c>
      <c r="D12" s="69">
        <v>19929</v>
      </c>
      <c r="E12" s="69">
        <v>159836</v>
      </c>
      <c r="F12" s="70">
        <v>247200</v>
      </c>
      <c r="G12" s="71">
        <f t="shared" si="0"/>
        <v>207786.80000000002</v>
      </c>
      <c r="H12" s="48">
        <f t="shared" si="1"/>
        <v>295231.80000000005</v>
      </c>
      <c r="I12" s="48">
        <f t="shared" si="2"/>
        <v>295200</v>
      </c>
    </row>
    <row r="13" spans="1:15" s="46" customFormat="1" ht="18.75" x14ac:dyDescent="0.2">
      <c r="A13" s="74" t="s">
        <v>78</v>
      </c>
      <c r="B13" s="72" t="s">
        <v>115</v>
      </c>
      <c r="C13" s="69">
        <v>49443</v>
      </c>
      <c r="D13" s="69">
        <v>19929</v>
      </c>
      <c r="E13" s="69">
        <v>139856.86956521738</v>
      </c>
      <c r="F13" s="70">
        <v>209200</v>
      </c>
      <c r="G13" s="71">
        <f t="shared" si="0"/>
        <v>181813.93043478258</v>
      </c>
      <c r="H13" s="48">
        <f t="shared" si="1"/>
        <v>251185.93043478258</v>
      </c>
      <c r="I13" s="48">
        <f t="shared" si="2"/>
        <v>251100</v>
      </c>
    </row>
    <row r="14" spans="1:15" s="46" customFormat="1" ht="18.75" x14ac:dyDescent="0.2">
      <c r="A14" s="67">
        <v>4</v>
      </c>
      <c r="B14" s="72" t="s">
        <v>97</v>
      </c>
      <c r="C14" s="69"/>
      <c r="D14" s="69"/>
      <c r="E14" s="69"/>
      <c r="F14" s="70"/>
      <c r="G14" s="71">
        <f t="shared" si="0"/>
        <v>0</v>
      </c>
      <c r="H14" s="48">
        <f t="shared" si="1"/>
        <v>0</v>
      </c>
      <c r="I14" s="48">
        <f t="shared" si="2"/>
        <v>0</v>
      </c>
    </row>
    <row r="15" spans="1:15" s="46" customFormat="1" ht="31.5" x14ac:dyDescent="0.2">
      <c r="A15" s="74" t="s">
        <v>81</v>
      </c>
      <c r="B15" s="72" t="s">
        <v>116</v>
      </c>
      <c r="C15" s="69">
        <v>134852</v>
      </c>
      <c r="D15" s="69">
        <v>19929</v>
      </c>
      <c r="E15" s="69">
        <v>219775</v>
      </c>
      <c r="F15" s="70">
        <v>374500</v>
      </c>
      <c r="G15" s="71">
        <f t="shared" si="0"/>
        <v>285707.5</v>
      </c>
      <c r="H15" s="48">
        <f t="shared" si="1"/>
        <v>440488.5</v>
      </c>
      <c r="I15" s="48">
        <f t="shared" si="2"/>
        <v>440400</v>
      </c>
    </row>
    <row r="16" spans="1:15" s="46" customFormat="1" ht="18.75" x14ac:dyDescent="0.2">
      <c r="A16" s="73" t="s">
        <v>83</v>
      </c>
      <c r="B16" s="72" t="s">
        <v>117</v>
      </c>
      <c r="C16" s="69">
        <v>115147</v>
      </c>
      <c r="D16" s="69">
        <v>19929</v>
      </c>
      <c r="E16" s="69">
        <v>199795.30434782608</v>
      </c>
      <c r="F16" s="70">
        <v>334800</v>
      </c>
      <c r="G16" s="71">
        <f t="shared" si="0"/>
        <v>259733.8956521739</v>
      </c>
      <c r="H16" s="48">
        <f t="shared" si="1"/>
        <v>394809.8956521739</v>
      </c>
      <c r="I16" s="48">
        <f t="shared" si="2"/>
        <v>394800</v>
      </c>
    </row>
    <row r="17" spans="1:9" s="46" customFormat="1" ht="31.5" x14ac:dyDescent="0.2">
      <c r="A17" s="74" t="s">
        <v>85</v>
      </c>
      <c r="B17" s="72" t="s">
        <v>118</v>
      </c>
      <c r="C17" s="69">
        <v>92003</v>
      </c>
      <c r="D17" s="69">
        <v>19929</v>
      </c>
      <c r="E17" s="69">
        <v>179971.82608695654</v>
      </c>
      <c r="F17" s="70">
        <v>291900</v>
      </c>
      <c r="G17" s="71">
        <f t="shared" si="0"/>
        <v>233963.3739130435</v>
      </c>
      <c r="H17" s="48">
        <f t="shared" si="1"/>
        <v>345895.37391304353</v>
      </c>
      <c r="I17" s="48">
        <f t="shared" si="2"/>
        <v>345800</v>
      </c>
    </row>
    <row r="18" spans="1:9" s="46" customFormat="1" ht="31.5" x14ac:dyDescent="0.2">
      <c r="A18" s="74" t="s">
        <v>87</v>
      </c>
      <c r="B18" s="72" t="s">
        <v>119</v>
      </c>
      <c r="C18" s="69">
        <v>82549</v>
      </c>
      <c r="D18" s="69">
        <v>19929</v>
      </c>
      <c r="E18" s="69">
        <v>159936</v>
      </c>
      <c r="F18" s="70">
        <v>262300</v>
      </c>
      <c r="G18" s="71">
        <f t="shared" si="0"/>
        <v>207916.80000000002</v>
      </c>
      <c r="H18" s="48">
        <f t="shared" si="1"/>
        <v>310394.80000000005</v>
      </c>
      <c r="I18" s="48">
        <f t="shared" si="2"/>
        <v>310300</v>
      </c>
    </row>
    <row r="19" spans="1:9" s="46" customFormat="1" ht="18.75" x14ac:dyDescent="0.2">
      <c r="A19" s="67" t="s">
        <v>15</v>
      </c>
      <c r="B19" s="75" t="s">
        <v>92</v>
      </c>
      <c r="C19" s="69"/>
      <c r="D19" s="69"/>
      <c r="E19" s="69"/>
      <c r="F19" s="70"/>
      <c r="G19" s="71">
        <f t="shared" si="0"/>
        <v>0</v>
      </c>
      <c r="H19" s="48">
        <f t="shared" si="1"/>
        <v>0</v>
      </c>
      <c r="I19" s="48">
        <f t="shared" si="2"/>
        <v>0</v>
      </c>
    </row>
    <row r="20" spans="1:9" ht="18.75" x14ac:dyDescent="0.2">
      <c r="A20" s="67">
        <v>1</v>
      </c>
      <c r="B20" s="68" t="s">
        <v>94</v>
      </c>
      <c r="C20" s="69">
        <v>284691</v>
      </c>
      <c r="D20" s="69">
        <v>28844</v>
      </c>
      <c r="E20" s="69">
        <v>472794</v>
      </c>
      <c r="F20" s="70">
        <v>786300</v>
      </c>
      <c r="G20" s="71">
        <f t="shared" si="0"/>
        <v>614632.20000000007</v>
      </c>
      <c r="H20" s="48">
        <f t="shared" si="1"/>
        <v>928167.20000000007</v>
      </c>
      <c r="I20" s="48">
        <f t="shared" si="2"/>
        <v>928100</v>
      </c>
    </row>
    <row r="21" spans="1:9" ht="18.75" x14ac:dyDescent="0.2">
      <c r="A21" s="67">
        <v>2</v>
      </c>
      <c r="B21" s="68" t="s">
        <v>71</v>
      </c>
      <c r="C21" s="69">
        <v>166579</v>
      </c>
      <c r="D21" s="69">
        <v>28844</v>
      </c>
      <c r="E21" s="69">
        <v>279380.34782608697</v>
      </c>
      <c r="F21" s="70">
        <v>474800</v>
      </c>
      <c r="G21" s="71">
        <f t="shared" si="0"/>
        <v>363194.45217391307</v>
      </c>
      <c r="H21" s="48">
        <f t="shared" si="1"/>
        <v>558617.45217391313</v>
      </c>
      <c r="I21" s="48">
        <f t="shared" si="2"/>
        <v>558600</v>
      </c>
    </row>
    <row r="22" spans="1:9" ht="18.75" x14ac:dyDescent="0.2">
      <c r="A22" s="67">
        <v>3</v>
      </c>
      <c r="B22" s="72" t="s">
        <v>72</v>
      </c>
      <c r="C22" s="76"/>
      <c r="D22" s="76"/>
      <c r="E22" s="69"/>
      <c r="F22" s="70"/>
      <c r="G22" s="71">
        <f t="shared" si="0"/>
        <v>0</v>
      </c>
      <c r="H22" s="48">
        <f t="shared" si="1"/>
        <v>0</v>
      </c>
      <c r="I22" s="48">
        <f t="shared" si="2"/>
        <v>0</v>
      </c>
    </row>
    <row r="23" spans="1:9" ht="47.25" x14ac:dyDescent="0.2">
      <c r="A23" s="73" t="s">
        <v>73</v>
      </c>
      <c r="B23" s="72" t="s">
        <v>113</v>
      </c>
      <c r="C23" s="69">
        <v>67936</v>
      </c>
      <c r="D23" s="69">
        <v>19929</v>
      </c>
      <c r="E23" s="69">
        <v>167462</v>
      </c>
      <c r="F23" s="70">
        <v>255300</v>
      </c>
      <c r="G23" s="71">
        <f t="shared" si="0"/>
        <v>217700.6</v>
      </c>
      <c r="H23" s="48">
        <f t="shared" si="1"/>
        <v>305565.59999999998</v>
      </c>
      <c r="I23" s="48">
        <f t="shared" si="2"/>
        <v>305500</v>
      </c>
    </row>
    <row r="24" spans="1:9" ht="47.25" x14ac:dyDescent="0.2">
      <c r="A24" s="74" t="s">
        <v>76</v>
      </c>
      <c r="B24" s="72" t="s">
        <v>114</v>
      </c>
      <c r="C24" s="69">
        <v>60439</v>
      </c>
      <c r="D24" s="69">
        <v>19929</v>
      </c>
      <c r="E24" s="69">
        <v>148855.30434782611</v>
      </c>
      <c r="F24" s="70">
        <v>229200</v>
      </c>
      <c r="G24" s="71">
        <f t="shared" si="0"/>
        <v>193511.89565217393</v>
      </c>
      <c r="H24" s="48">
        <f t="shared" si="1"/>
        <v>273879.8956521739</v>
      </c>
      <c r="I24" s="48">
        <f t="shared" si="2"/>
        <v>273800</v>
      </c>
    </row>
    <row r="25" spans="1:9" ht="18.75" x14ac:dyDescent="0.2">
      <c r="A25" s="74" t="s">
        <v>78</v>
      </c>
      <c r="B25" s="72" t="s">
        <v>115</v>
      </c>
      <c r="C25" s="69">
        <v>43709</v>
      </c>
      <c r="D25" s="69">
        <v>19929</v>
      </c>
      <c r="E25" s="69">
        <v>130248</v>
      </c>
      <c r="F25" s="70">
        <v>193800</v>
      </c>
      <c r="G25" s="71">
        <f t="shared" si="0"/>
        <v>169322.4</v>
      </c>
      <c r="H25" s="48">
        <f t="shared" si="1"/>
        <v>232960.4</v>
      </c>
      <c r="I25" s="48">
        <f t="shared" si="2"/>
        <v>232900</v>
      </c>
    </row>
    <row r="26" spans="1:9" ht="18.75" x14ac:dyDescent="0.2">
      <c r="A26" s="67">
        <v>4</v>
      </c>
      <c r="B26" s="72" t="s">
        <v>97</v>
      </c>
      <c r="C26" s="76"/>
      <c r="D26" s="76"/>
      <c r="E26" s="69"/>
      <c r="F26" s="70"/>
      <c r="G26" s="71">
        <f t="shared" si="0"/>
        <v>0</v>
      </c>
      <c r="H26" s="48">
        <f t="shared" si="1"/>
        <v>0</v>
      </c>
      <c r="I26" s="48">
        <f t="shared" si="2"/>
        <v>0</v>
      </c>
    </row>
    <row r="27" spans="1:9" ht="31.5" x14ac:dyDescent="0.2">
      <c r="A27" s="74" t="s">
        <v>81</v>
      </c>
      <c r="B27" s="72" t="s">
        <v>116</v>
      </c>
      <c r="C27" s="69">
        <v>114437</v>
      </c>
      <c r="D27" s="69">
        <v>19929</v>
      </c>
      <c r="E27" s="69">
        <v>204675</v>
      </c>
      <c r="F27" s="70">
        <v>339000</v>
      </c>
      <c r="G27" s="71">
        <f t="shared" si="0"/>
        <v>266077.5</v>
      </c>
      <c r="H27" s="48">
        <f t="shared" si="1"/>
        <v>400443.5</v>
      </c>
      <c r="I27" s="48">
        <f t="shared" si="2"/>
        <v>400400</v>
      </c>
    </row>
    <row r="28" spans="1:9" ht="18.75" x14ac:dyDescent="0.2">
      <c r="A28" s="73" t="s">
        <v>83</v>
      </c>
      <c r="B28" s="72" t="s">
        <v>117</v>
      </c>
      <c r="C28" s="69">
        <v>102586</v>
      </c>
      <c r="D28" s="69">
        <v>19929</v>
      </c>
      <c r="E28" s="69">
        <v>186069</v>
      </c>
      <c r="F28" s="70">
        <v>308500</v>
      </c>
      <c r="G28" s="71">
        <f t="shared" si="0"/>
        <v>241889.7</v>
      </c>
      <c r="H28" s="48">
        <f t="shared" si="1"/>
        <v>364404.7</v>
      </c>
      <c r="I28" s="48">
        <f t="shared" si="2"/>
        <v>364400</v>
      </c>
    </row>
    <row r="29" spans="1:9" ht="31.5" x14ac:dyDescent="0.2">
      <c r="A29" s="74" t="s">
        <v>85</v>
      </c>
      <c r="B29" s="72" t="s">
        <v>118</v>
      </c>
      <c r="C29" s="69">
        <v>83141</v>
      </c>
      <c r="D29" s="69">
        <v>19929</v>
      </c>
      <c r="E29" s="69">
        <v>167462</v>
      </c>
      <c r="F29" s="70">
        <v>270500</v>
      </c>
      <c r="G29" s="71">
        <f t="shared" si="0"/>
        <v>217700.6</v>
      </c>
      <c r="H29" s="48">
        <f t="shared" si="1"/>
        <v>320770.59999999998</v>
      </c>
      <c r="I29" s="48">
        <f t="shared" si="2"/>
        <v>320700</v>
      </c>
    </row>
    <row r="30" spans="1:9" ht="35.450000000000003" customHeight="1" x14ac:dyDescent="0.2">
      <c r="A30" s="74" t="s">
        <v>87</v>
      </c>
      <c r="B30" s="72" t="s">
        <v>119</v>
      </c>
      <c r="C30" s="69">
        <v>73343</v>
      </c>
      <c r="D30" s="69">
        <v>19929</v>
      </c>
      <c r="E30" s="69">
        <v>148855.30434782611</v>
      </c>
      <c r="F30" s="70">
        <v>242100</v>
      </c>
      <c r="G30" s="71">
        <f t="shared" si="0"/>
        <v>193511.89565217393</v>
      </c>
      <c r="H30" s="48">
        <f t="shared" si="1"/>
        <v>286783.8956521739</v>
      </c>
      <c r="I30" s="48">
        <f t="shared" si="2"/>
        <v>286700</v>
      </c>
    </row>
    <row r="31" spans="1:9" ht="24" customHeight="1" x14ac:dyDescent="0.25">
      <c r="A31" s="67" t="s">
        <v>20</v>
      </c>
      <c r="B31" s="75" t="s">
        <v>102</v>
      </c>
      <c r="C31" s="77"/>
      <c r="D31" s="77"/>
      <c r="E31" s="69"/>
      <c r="F31" s="70"/>
      <c r="G31" s="71">
        <f t="shared" si="0"/>
        <v>0</v>
      </c>
      <c r="H31" s="48">
        <f t="shared" si="1"/>
        <v>0</v>
      </c>
      <c r="I31" s="48">
        <f t="shared" si="2"/>
        <v>0</v>
      </c>
    </row>
    <row r="32" spans="1:9" ht="18.75" x14ac:dyDescent="0.2">
      <c r="A32" s="67">
        <v>1</v>
      </c>
      <c r="B32" s="68" t="s">
        <v>94</v>
      </c>
      <c r="C32" s="69">
        <v>233438</v>
      </c>
      <c r="D32" s="69">
        <v>21385</v>
      </c>
      <c r="E32" s="69">
        <v>419106</v>
      </c>
      <c r="F32" s="70">
        <v>673900</v>
      </c>
      <c r="G32" s="71">
        <f t="shared" si="0"/>
        <v>544837.80000000005</v>
      </c>
      <c r="H32" s="48">
        <f t="shared" si="1"/>
        <v>799660.8</v>
      </c>
      <c r="I32" s="48">
        <f t="shared" si="2"/>
        <v>799600</v>
      </c>
    </row>
    <row r="33" spans="1:9" ht="18.75" x14ac:dyDescent="0.2">
      <c r="A33" s="67">
        <v>2</v>
      </c>
      <c r="B33" s="68" t="s">
        <v>71</v>
      </c>
      <c r="C33" s="69">
        <v>140087</v>
      </c>
      <c r="D33" s="69">
        <v>21385</v>
      </c>
      <c r="E33" s="69">
        <v>197743.30434782608</v>
      </c>
      <c r="F33" s="70">
        <v>359200</v>
      </c>
      <c r="G33" s="71">
        <f t="shared" si="0"/>
        <v>257066.2956521739</v>
      </c>
      <c r="H33" s="48">
        <f t="shared" si="1"/>
        <v>418538.29565217393</v>
      </c>
      <c r="I33" s="48">
        <f t="shared" si="2"/>
        <v>418500</v>
      </c>
    </row>
    <row r="34" spans="1:9" ht="18.75" x14ac:dyDescent="0.2">
      <c r="A34" s="67">
        <v>3</v>
      </c>
      <c r="B34" s="72" t="s">
        <v>72</v>
      </c>
      <c r="C34" s="76"/>
      <c r="D34" s="76"/>
      <c r="E34" s="69"/>
      <c r="F34" s="70"/>
      <c r="G34" s="71">
        <f t="shared" si="0"/>
        <v>0</v>
      </c>
      <c r="H34" s="48">
        <f t="shared" si="1"/>
        <v>0</v>
      </c>
      <c r="I34" s="48">
        <f t="shared" si="2"/>
        <v>0</v>
      </c>
    </row>
    <row r="35" spans="1:9" ht="47.25" x14ac:dyDescent="0.2">
      <c r="A35" s="73" t="s">
        <v>73</v>
      </c>
      <c r="B35" s="72" t="s">
        <v>113</v>
      </c>
      <c r="C35" s="69">
        <v>49394</v>
      </c>
      <c r="D35" s="69">
        <v>14907</v>
      </c>
      <c r="E35" s="69">
        <v>148308</v>
      </c>
      <c r="F35" s="70">
        <v>212600</v>
      </c>
      <c r="G35" s="71">
        <f t="shared" si="0"/>
        <v>192800.4</v>
      </c>
      <c r="H35" s="48">
        <f t="shared" si="1"/>
        <v>257101.4</v>
      </c>
      <c r="I35" s="48">
        <f t="shared" si="2"/>
        <v>257100</v>
      </c>
    </row>
    <row r="36" spans="1:9" ht="47.25" x14ac:dyDescent="0.2">
      <c r="A36" s="74" t="s">
        <v>76</v>
      </c>
      <c r="B36" s="72" t="s">
        <v>114</v>
      </c>
      <c r="C36" s="69">
        <v>36018</v>
      </c>
      <c r="D36" s="69">
        <v>14907</v>
      </c>
      <c r="E36" s="69">
        <v>131828.86956521741</v>
      </c>
      <c r="F36" s="70">
        <v>182700</v>
      </c>
      <c r="G36" s="71">
        <f t="shared" si="0"/>
        <v>171377.53043478262</v>
      </c>
      <c r="H36" s="48">
        <f t="shared" si="1"/>
        <v>222302.53043478262</v>
      </c>
      <c r="I36" s="48">
        <f t="shared" si="2"/>
        <v>222300</v>
      </c>
    </row>
    <row r="37" spans="1:9" ht="18.75" x14ac:dyDescent="0.2">
      <c r="A37" s="74" t="s">
        <v>78</v>
      </c>
      <c r="B37" s="72" t="s">
        <v>115</v>
      </c>
      <c r="C37" s="69">
        <v>33906</v>
      </c>
      <c r="D37" s="69">
        <v>14907</v>
      </c>
      <c r="E37" s="69">
        <v>98871.65217391304</v>
      </c>
      <c r="F37" s="70">
        <v>147600</v>
      </c>
      <c r="G37" s="71">
        <f t="shared" si="0"/>
        <v>128533.14782608695</v>
      </c>
      <c r="H37" s="48">
        <f t="shared" si="1"/>
        <v>177346.14782608696</v>
      </c>
      <c r="I37" s="48">
        <f t="shared" si="2"/>
        <v>177300</v>
      </c>
    </row>
    <row r="38" spans="1:9" ht="18.75" x14ac:dyDescent="0.2">
      <c r="A38" s="67">
        <v>4</v>
      </c>
      <c r="B38" s="72" t="s">
        <v>97</v>
      </c>
      <c r="C38" s="76"/>
      <c r="D38" s="76"/>
      <c r="E38" s="69"/>
      <c r="F38" s="70"/>
      <c r="G38" s="71">
        <f t="shared" si="0"/>
        <v>0</v>
      </c>
      <c r="H38" s="48">
        <f t="shared" si="1"/>
        <v>0</v>
      </c>
      <c r="I38" s="48">
        <f t="shared" si="2"/>
        <v>0</v>
      </c>
    </row>
    <row r="39" spans="1:9" ht="31.5" x14ac:dyDescent="0.2">
      <c r="A39" s="74" t="s">
        <v>81</v>
      </c>
      <c r="B39" s="72" t="s">
        <v>116</v>
      </c>
      <c r="C39" s="69">
        <v>91339</v>
      </c>
      <c r="D39" s="69">
        <v>14907</v>
      </c>
      <c r="E39" s="69">
        <v>181264.69565217392</v>
      </c>
      <c r="F39" s="70">
        <v>287500</v>
      </c>
      <c r="G39" s="71">
        <f t="shared" si="0"/>
        <v>235644.1043478261</v>
      </c>
      <c r="H39" s="48">
        <f t="shared" si="1"/>
        <v>341890.1043478261</v>
      </c>
      <c r="I39" s="48">
        <f t="shared" si="2"/>
        <v>341800</v>
      </c>
    </row>
    <row r="40" spans="1:9" ht="18.75" x14ac:dyDescent="0.2">
      <c r="A40" s="73" t="s">
        <v>83</v>
      </c>
      <c r="B40" s="72" t="s">
        <v>117</v>
      </c>
      <c r="C40" s="69">
        <v>72472</v>
      </c>
      <c r="D40" s="69">
        <v>14907</v>
      </c>
      <c r="E40" s="69">
        <v>164786.08695652173</v>
      </c>
      <c r="F40" s="70">
        <v>252100</v>
      </c>
      <c r="G40" s="71">
        <f t="shared" si="0"/>
        <v>214221.91304347824</v>
      </c>
      <c r="H40" s="48">
        <f t="shared" si="1"/>
        <v>301600.91304347827</v>
      </c>
      <c r="I40" s="48">
        <f t="shared" si="2"/>
        <v>301600</v>
      </c>
    </row>
    <row r="41" spans="1:9" ht="31.5" x14ac:dyDescent="0.2">
      <c r="A41" s="74" t="s">
        <v>85</v>
      </c>
      <c r="B41" s="72" t="s">
        <v>118</v>
      </c>
      <c r="C41" s="69">
        <v>61568</v>
      </c>
      <c r="D41" s="69">
        <v>14907</v>
      </c>
      <c r="E41" s="69">
        <v>148308</v>
      </c>
      <c r="F41" s="70">
        <v>224700</v>
      </c>
      <c r="G41" s="71">
        <f t="shared" si="0"/>
        <v>192800.4</v>
      </c>
      <c r="H41" s="48">
        <f t="shared" si="1"/>
        <v>269275.40000000002</v>
      </c>
      <c r="I41" s="48">
        <f t="shared" si="2"/>
        <v>269200</v>
      </c>
    </row>
    <row r="42" spans="1:9" ht="31.5" x14ac:dyDescent="0.2">
      <c r="A42" s="74" t="s">
        <v>87</v>
      </c>
      <c r="B42" s="72" t="s">
        <v>119</v>
      </c>
      <c r="C42" s="69">
        <v>53628</v>
      </c>
      <c r="D42" s="69">
        <v>14907</v>
      </c>
      <c r="E42" s="69">
        <v>123589.56521739131</v>
      </c>
      <c r="F42" s="70">
        <v>192100</v>
      </c>
      <c r="G42" s="71">
        <f t="shared" si="0"/>
        <v>160666.4347826087</v>
      </c>
      <c r="H42" s="48">
        <f t="shared" si="1"/>
        <v>229201.4347826087</v>
      </c>
      <c r="I42" s="48">
        <f t="shared" si="2"/>
        <v>229200</v>
      </c>
    </row>
    <row r="43" spans="1:9" ht="18.75" x14ac:dyDescent="0.2">
      <c r="A43" s="67" t="s">
        <v>22</v>
      </c>
      <c r="B43" s="75" t="s">
        <v>103</v>
      </c>
      <c r="C43" s="24"/>
      <c r="D43" s="24"/>
      <c r="E43" s="69"/>
      <c r="F43" s="70"/>
      <c r="G43" s="71">
        <f t="shared" si="0"/>
        <v>0</v>
      </c>
      <c r="H43" s="48">
        <f t="shared" si="1"/>
        <v>0</v>
      </c>
      <c r="I43" s="48">
        <f t="shared" si="2"/>
        <v>0</v>
      </c>
    </row>
    <row r="44" spans="1:9" ht="18.75" x14ac:dyDescent="0.2">
      <c r="A44" s="67">
        <v>1</v>
      </c>
      <c r="B44" s="68" t="s">
        <v>94</v>
      </c>
      <c r="C44" s="76"/>
      <c r="D44" s="76"/>
      <c r="E44" s="69"/>
      <c r="F44" s="70"/>
      <c r="G44" s="71">
        <f t="shared" si="0"/>
        <v>0</v>
      </c>
      <c r="H44" s="48">
        <f t="shared" si="1"/>
        <v>0</v>
      </c>
      <c r="I44" s="48">
        <f t="shared" si="2"/>
        <v>0</v>
      </c>
    </row>
    <row r="45" spans="1:9" ht="18.75" x14ac:dyDescent="0.2">
      <c r="A45" s="67">
        <v>2</v>
      </c>
      <c r="B45" s="68" t="s">
        <v>71</v>
      </c>
      <c r="C45" s="69">
        <v>122217</v>
      </c>
      <c r="D45" s="69">
        <v>15986</v>
      </c>
      <c r="E45" s="69">
        <v>174025.5652173913</v>
      </c>
      <c r="F45" s="70">
        <v>312200</v>
      </c>
      <c r="G45" s="71">
        <f t="shared" si="0"/>
        <v>226233.23478260869</v>
      </c>
      <c r="H45" s="48">
        <f t="shared" si="1"/>
        <v>364436.23478260869</v>
      </c>
      <c r="I45" s="48">
        <f t="shared" si="2"/>
        <v>364400</v>
      </c>
    </row>
    <row r="46" spans="1:9" ht="18.75" x14ac:dyDescent="0.2">
      <c r="A46" s="67">
        <v>3</v>
      </c>
      <c r="B46" s="72" t="s">
        <v>72</v>
      </c>
      <c r="C46" s="76"/>
      <c r="D46" s="76"/>
      <c r="E46" s="69"/>
      <c r="F46" s="70"/>
      <c r="G46" s="71">
        <f t="shared" si="0"/>
        <v>0</v>
      </c>
      <c r="H46" s="48">
        <f t="shared" si="1"/>
        <v>0</v>
      </c>
      <c r="I46" s="48">
        <f t="shared" si="2"/>
        <v>0</v>
      </c>
    </row>
    <row r="47" spans="1:9" ht="47.25" x14ac:dyDescent="0.2">
      <c r="A47" s="73" t="s">
        <v>73</v>
      </c>
      <c r="B47" s="72" t="s">
        <v>113</v>
      </c>
      <c r="C47" s="69">
        <v>30108</v>
      </c>
      <c r="D47" s="69">
        <v>11308</v>
      </c>
      <c r="E47" s="69">
        <v>156624</v>
      </c>
      <c r="F47" s="70">
        <v>198000</v>
      </c>
      <c r="G47" s="71">
        <f t="shared" si="0"/>
        <v>203611.19999999998</v>
      </c>
      <c r="H47" s="48">
        <f t="shared" si="1"/>
        <v>245027.19999999998</v>
      </c>
      <c r="I47" s="48">
        <f t="shared" si="2"/>
        <v>245000</v>
      </c>
    </row>
    <row r="48" spans="1:9" ht="47.25" x14ac:dyDescent="0.2">
      <c r="A48" s="74" t="s">
        <v>76</v>
      </c>
      <c r="B48" s="72" t="s">
        <v>114</v>
      </c>
      <c r="C48" s="69">
        <v>29302</v>
      </c>
      <c r="D48" s="69">
        <v>11308</v>
      </c>
      <c r="E48" s="69">
        <v>131074.4347826087</v>
      </c>
      <c r="F48" s="70">
        <v>171600</v>
      </c>
      <c r="G48" s="71">
        <f t="shared" si="0"/>
        <v>170396.76521739131</v>
      </c>
      <c r="H48" s="48">
        <f t="shared" si="1"/>
        <v>211006.76521739131</v>
      </c>
      <c r="I48" s="48">
        <f t="shared" si="2"/>
        <v>211000</v>
      </c>
    </row>
    <row r="49" spans="1:9" ht="18.75" x14ac:dyDescent="0.2">
      <c r="A49" s="74" t="s">
        <v>78</v>
      </c>
      <c r="B49" s="72" t="s">
        <v>115</v>
      </c>
      <c r="C49" s="69">
        <v>25621</v>
      </c>
      <c r="D49" s="69">
        <v>11308</v>
      </c>
      <c r="E49" s="69">
        <v>101761.04347826086</v>
      </c>
      <c r="F49" s="70">
        <v>138600</v>
      </c>
      <c r="G49" s="71">
        <f t="shared" si="0"/>
        <v>132289.35652173913</v>
      </c>
      <c r="H49" s="48">
        <f t="shared" si="1"/>
        <v>169218.35652173913</v>
      </c>
      <c r="I49" s="48">
        <f t="shared" si="2"/>
        <v>169200</v>
      </c>
    </row>
    <row r="50" spans="1:9" ht="18.75" x14ac:dyDescent="0.2">
      <c r="A50" s="67">
        <v>4</v>
      </c>
      <c r="B50" s="72" t="s">
        <v>97</v>
      </c>
      <c r="C50" s="76"/>
      <c r="D50" s="76"/>
      <c r="E50" s="69"/>
      <c r="F50" s="70"/>
      <c r="G50" s="71">
        <f t="shared" si="0"/>
        <v>0</v>
      </c>
      <c r="H50" s="48">
        <f t="shared" si="1"/>
        <v>0</v>
      </c>
      <c r="I50" s="48">
        <f t="shared" si="2"/>
        <v>0</v>
      </c>
    </row>
    <row r="51" spans="1:9" ht="31.5" x14ac:dyDescent="0.2">
      <c r="A51" s="74" t="s">
        <v>81</v>
      </c>
      <c r="B51" s="72" t="s">
        <v>116</v>
      </c>
      <c r="C51" s="76"/>
      <c r="D51" s="76"/>
      <c r="E51" s="69"/>
      <c r="F51" s="70"/>
      <c r="G51" s="71">
        <f t="shared" si="0"/>
        <v>0</v>
      </c>
      <c r="H51" s="48">
        <f t="shared" si="1"/>
        <v>0</v>
      </c>
      <c r="I51" s="48">
        <f t="shared" si="2"/>
        <v>0</v>
      </c>
    </row>
    <row r="52" spans="1:9" ht="18.75" x14ac:dyDescent="0.2">
      <c r="A52" s="73" t="s">
        <v>83</v>
      </c>
      <c r="B52" s="72" t="s">
        <v>117</v>
      </c>
      <c r="C52" s="69">
        <v>57317</v>
      </c>
      <c r="D52" s="69">
        <v>11308</v>
      </c>
      <c r="E52" s="69">
        <v>156623.47826086957</v>
      </c>
      <c r="F52" s="70">
        <v>225200</v>
      </c>
      <c r="G52" s="71">
        <f t="shared" si="0"/>
        <v>203610.52173913043</v>
      </c>
      <c r="H52" s="48">
        <f t="shared" si="1"/>
        <v>272235.52173913043</v>
      </c>
      <c r="I52" s="48">
        <f t="shared" si="2"/>
        <v>272200</v>
      </c>
    </row>
    <row r="53" spans="1:9" ht="31.5" x14ac:dyDescent="0.2">
      <c r="A53" s="74" t="s">
        <v>85</v>
      </c>
      <c r="B53" s="72" t="s">
        <v>118</v>
      </c>
      <c r="C53" s="69">
        <v>49079</v>
      </c>
      <c r="D53" s="69">
        <v>11308</v>
      </c>
      <c r="E53" s="69">
        <v>139221.39130434781</v>
      </c>
      <c r="F53" s="70">
        <v>199600</v>
      </c>
      <c r="G53" s="71">
        <f t="shared" si="0"/>
        <v>180987.80869565217</v>
      </c>
      <c r="H53" s="48">
        <f t="shared" si="1"/>
        <v>241374.80869565217</v>
      </c>
      <c r="I53" s="48">
        <f t="shared" si="2"/>
        <v>241300</v>
      </c>
    </row>
    <row r="54" spans="1:9" ht="31.5" x14ac:dyDescent="0.2">
      <c r="A54" s="74" t="s">
        <v>87</v>
      </c>
      <c r="B54" s="72" t="s">
        <v>119</v>
      </c>
      <c r="C54" s="69">
        <v>43123</v>
      </c>
      <c r="D54" s="69">
        <v>11308</v>
      </c>
      <c r="E54" s="69">
        <v>113763.13043478261</v>
      </c>
      <c r="F54" s="70">
        <v>168100</v>
      </c>
      <c r="G54" s="71">
        <f t="shared" si="0"/>
        <v>147892.06956521739</v>
      </c>
      <c r="H54" s="48">
        <f t="shared" si="1"/>
        <v>202323.06956521739</v>
      </c>
      <c r="I54" s="48">
        <f t="shared" si="2"/>
        <v>202300</v>
      </c>
    </row>
    <row r="55" spans="1:9" ht="18.75" x14ac:dyDescent="0.2">
      <c r="A55" s="67" t="s">
        <v>120</v>
      </c>
      <c r="B55" s="75" t="s">
        <v>104</v>
      </c>
      <c r="C55" s="24"/>
      <c r="D55" s="24"/>
      <c r="E55" s="69"/>
      <c r="F55" s="70"/>
      <c r="G55" s="71">
        <f t="shared" si="0"/>
        <v>0</v>
      </c>
      <c r="H55" s="48">
        <f t="shared" si="1"/>
        <v>0</v>
      </c>
      <c r="I55" s="48">
        <f t="shared" si="2"/>
        <v>0</v>
      </c>
    </row>
    <row r="56" spans="1:9" ht="18.75" x14ac:dyDescent="0.2">
      <c r="A56" s="67">
        <v>1</v>
      </c>
      <c r="B56" s="68" t="s">
        <v>94</v>
      </c>
      <c r="C56" s="78"/>
      <c r="D56" s="78"/>
      <c r="E56" s="69"/>
      <c r="F56" s="70"/>
      <c r="G56" s="71">
        <f t="shared" si="0"/>
        <v>0</v>
      </c>
      <c r="H56" s="48">
        <f t="shared" si="1"/>
        <v>0</v>
      </c>
      <c r="I56" s="48">
        <f t="shared" si="2"/>
        <v>0</v>
      </c>
    </row>
    <row r="57" spans="1:9" ht="18.75" x14ac:dyDescent="0.2">
      <c r="A57" s="67">
        <v>2</v>
      </c>
      <c r="B57" s="68" t="s">
        <v>71</v>
      </c>
      <c r="C57" s="79">
        <v>103242</v>
      </c>
      <c r="D57" s="79">
        <v>14757</v>
      </c>
      <c r="E57" s="69">
        <v>161470.95652173914</v>
      </c>
      <c r="F57" s="70">
        <v>279400</v>
      </c>
      <c r="G57" s="71">
        <f t="shared" si="0"/>
        <v>209912.24347826088</v>
      </c>
      <c r="H57" s="48">
        <f t="shared" si="1"/>
        <v>327911.24347826088</v>
      </c>
      <c r="I57" s="48">
        <f t="shared" si="2"/>
        <v>327900</v>
      </c>
    </row>
    <row r="58" spans="1:9" ht="18.75" x14ac:dyDescent="0.2">
      <c r="A58" s="67">
        <v>3</v>
      </c>
      <c r="B58" s="72" t="s">
        <v>72</v>
      </c>
      <c r="C58" s="78"/>
      <c r="D58" s="78"/>
      <c r="E58" s="69"/>
      <c r="F58" s="70"/>
      <c r="G58" s="71">
        <f t="shared" si="0"/>
        <v>0</v>
      </c>
      <c r="H58" s="48">
        <f t="shared" si="1"/>
        <v>0</v>
      </c>
      <c r="I58" s="48">
        <f t="shared" si="2"/>
        <v>0</v>
      </c>
    </row>
    <row r="59" spans="1:9" ht="47.25" x14ac:dyDescent="0.2">
      <c r="A59" s="73" t="s">
        <v>73</v>
      </c>
      <c r="B59" s="72" t="s">
        <v>113</v>
      </c>
      <c r="C59" s="79">
        <v>25864</v>
      </c>
      <c r="D59" s="79">
        <v>10438</v>
      </c>
      <c r="E59" s="69">
        <v>140658.26086956522</v>
      </c>
      <c r="F59" s="70">
        <v>176900</v>
      </c>
      <c r="G59" s="71">
        <f t="shared" si="0"/>
        <v>182855.73913043478</v>
      </c>
      <c r="H59" s="48">
        <f t="shared" si="1"/>
        <v>219157.73913043478</v>
      </c>
      <c r="I59" s="48">
        <f t="shared" si="2"/>
        <v>219100</v>
      </c>
    </row>
    <row r="60" spans="1:9" ht="47.25" x14ac:dyDescent="0.2">
      <c r="A60" s="74" t="s">
        <v>76</v>
      </c>
      <c r="B60" s="72" t="s">
        <v>114</v>
      </c>
      <c r="C60" s="79">
        <v>25246</v>
      </c>
      <c r="D60" s="79">
        <v>10438</v>
      </c>
      <c r="E60" s="69">
        <v>117215</v>
      </c>
      <c r="F60" s="70">
        <v>152800</v>
      </c>
      <c r="G60" s="71">
        <f t="shared" si="0"/>
        <v>152379.49999999997</v>
      </c>
      <c r="H60" s="48">
        <f t="shared" si="1"/>
        <v>188063.49999999997</v>
      </c>
      <c r="I60" s="48">
        <f t="shared" si="2"/>
        <v>188000</v>
      </c>
    </row>
    <row r="61" spans="1:9" ht="18.75" x14ac:dyDescent="0.2">
      <c r="A61" s="74" t="s">
        <v>78</v>
      </c>
      <c r="B61" s="72" t="s">
        <v>115</v>
      </c>
      <c r="C61" s="79">
        <v>24009</v>
      </c>
      <c r="D61" s="79">
        <v>10438</v>
      </c>
      <c r="E61" s="69">
        <v>93772.173913043487</v>
      </c>
      <c r="F61" s="70">
        <v>128200</v>
      </c>
      <c r="G61" s="71">
        <f t="shared" si="0"/>
        <v>121903.82608695654</v>
      </c>
      <c r="H61" s="48">
        <f t="shared" si="1"/>
        <v>156350.82608695654</v>
      </c>
      <c r="I61" s="48">
        <f t="shared" si="2"/>
        <v>156300</v>
      </c>
    </row>
    <row r="62" spans="1:9" ht="18.75" x14ac:dyDescent="0.2">
      <c r="A62" s="67">
        <v>4</v>
      </c>
      <c r="B62" s="72" t="s">
        <v>97</v>
      </c>
      <c r="C62" s="76"/>
      <c r="D62" s="76"/>
      <c r="E62" s="69"/>
      <c r="F62" s="70"/>
      <c r="G62" s="71">
        <f t="shared" si="0"/>
        <v>0</v>
      </c>
      <c r="H62" s="48">
        <f t="shared" si="1"/>
        <v>0</v>
      </c>
      <c r="I62" s="48">
        <f t="shared" si="2"/>
        <v>0</v>
      </c>
    </row>
    <row r="63" spans="1:9" ht="31.5" x14ac:dyDescent="0.2">
      <c r="A63" s="74" t="s">
        <v>81</v>
      </c>
      <c r="B63" s="72" t="s">
        <v>116</v>
      </c>
      <c r="C63" s="76"/>
      <c r="D63" s="76"/>
      <c r="E63" s="69"/>
      <c r="F63" s="70"/>
      <c r="G63" s="71">
        <f t="shared" si="0"/>
        <v>0</v>
      </c>
      <c r="H63" s="48">
        <f t="shared" si="1"/>
        <v>0</v>
      </c>
      <c r="I63" s="48">
        <f t="shared" si="2"/>
        <v>0</v>
      </c>
    </row>
    <row r="64" spans="1:9" ht="18.75" x14ac:dyDescent="0.2">
      <c r="A64" s="73" t="s">
        <v>83</v>
      </c>
      <c r="B64" s="72" t="s">
        <v>117</v>
      </c>
      <c r="C64" s="79">
        <v>44481</v>
      </c>
      <c r="D64" s="79">
        <v>10438</v>
      </c>
      <c r="E64" s="69">
        <v>149129.21739130435</v>
      </c>
      <c r="F64" s="70">
        <v>204000</v>
      </c>
      <c r="G64" s="71">
        <f t="shared" si="0"/>
        <v>193867.98260869566</v>
      </c>
      <c r="H64" s="48">
        <f t="shared" si="1"/>
        <v>248786.98260869566</v>
      </c>
      <c r="I64" s="48">
        <f t="shared" si="2"/>
        <v>248700</v>
      </c>
    </row>
    <row r="65" spans="1:9" ht="31.5" x14ac:dyDescent="0.2">
      <c r="A65" s="74" t="s">
        <v>85</v>
      </c>
      <c r="B65" s="72" t="s">
        <v>118</v>
      </c>
      <c r="C65" s="79">
        <v>39278</v>
      </c>
      <c r="D65" s="79">
        <v>10438</v>
      </c>
      <c r="E65" s="69">
        <v>127552</v>
      </c>
      <c r="F65" s="70">
        <v>177300</v>
      </c>
      <c r="G65" s="71">
        <f t="shared" si="0"/>
        <v>165817.59999999998</v>
      </c>
      <c r="H65" s="48">
        <f t="shared" si="1"/>
        <v>215533.59999999998</v>
      </c>
      <c r="I65" s="48">
        <f t="shared" si="2"/>
        <v>215500</v>
      </c>
    </row>
    <row r="66" spans="1:9" ht="31.5" x14ac:dyDescent="0.2">
      <c r="A66" s="80" t="s">
        <v>87</v>
      </c>
      <c r="B66" s="81" t="s">
        <v>119</v>
      </c>
      <c r="C66" s="82">
        <v>36218</v>
      </c>
      <c r="D66" s="82">
        <v>10438</v>
      </c>
      <c r="E66" s="82">
        <v>106453</v>
      </c>
      <c r="F66" s="83">
        <v>153100</v>
      </c>
      <c r="G66" s="84">
        <f t="shared" si="0"/>
        <v>138388.9</v>
      </c>
      <c r="H66" s="85">
        <f t="shared" si="1"/>
        <v>185044.9</v>
      </c>
      <c r="I66" s="85">
        <f t="shared" si="2"/>
        <v>185000</v>
      </c>
    </row>
    <row r="67" spans="1:9" ht="18.75" x14ac:dyDescent="0.2">
      <c r="A67" s="86"/>
      <c r="B67" s="87"/>
      <c r="C67" s="88"/>
      <c r="D67" s="88"/>
      <c r="E67" s="88"/>
      <c r="F67" s="88"/>
    </row>
    <row r="68" spans="1:9" s="43" customFormat="1" ht="18.75" x14ac:dyDescent="0.3">
      <c r="A68" s="89"/>
      <c r="B68" s="89" t="s">
        <v>121</v>
      </c>
      <c r="C68" s="89"/>
      <c r="D68" s="89"/>
      <c r="E68" s="89"/>
      <c r="F68" s="90">
        <v>285046.34146341466</v>
      </c>
      <c r="G68" s="91"/>
      <c r="H68" s="92" t="e">
        <f>#REF!+#REF!</f>
        <v>#REF!</v>
      </c>
      <c r="I68" s="92" t="e">
        <f>#REF!+#REF!</f>
        <v>#REF!</v>
      </c>
    </row>
    <row r="69" spans="1:9" s="43" customFormat="1" ht="18.75" x14ac:dyDescent="0.3">
      <c r="A69" s="89"/>
      <c r="B69" s="89" t="s">
        <v>122</v>
      </c>
      <c r="C69" s="89"/>
      <c r="D69" s="89"/>
      <c r="E69" s="89"/>
      <c r="F69" s="93">
        <v>41</v>
      </c>
      <c r="G69" s="91"/>
      <c r="H69" s="92"/>
      <c r="I69" s="92"/>
    </row>
    <row r="70" spans="1:9" s="43" customFormat="1" ht="18.75" x14ac:dyDescent="0.3">
      <c r="A70" s="89"/>
      <c r="B70" s="89" t="s">
        <v>123</v>
      </c>
      <c r="C70" s="94"/>
      <c r="D70" s="94"/>
      <c r="E70" s="94"/>
      <c r="F70" s="95">
        <v>0.96</v>
      </c>
      <c r="G70" s="91"/>
      <c r="H70" s="92"/>
      <c r="I70" s="92"/>
    </row>
    <row r="71" spans="1:9" ht="18.75" x14ac:dyDescent="0.3">
      <c r="B71" s="43"/>
      <c r="C71" s="24"/>
      <c r="D71" s="24"/>
      <c r="E71" s="24"/>
      <c r="F71" s="24"/>
    </row>
    <row r="72" spans="1:9" x14ac:dyDescent="0.2">
      <c r="C72" s="24"/>
      <c r="D72" s="24"/>
      <c r="E72" s="24"/>
      <c r="F72" s="24"/>
    </row>
    <row r="73" spans="1:9" x14ac:dyDescent="0.2">
      <c r="C73" s="24"/>
      <c r="D73" s="24"/>
      <c r="E73" s="24"/>
      <c r="F73" s="24"/>
    </row>
    <row r="74" spans="1:9" x14ac:dyDescent="0.2">
      <c r="C74" s="24"/>
      <c r="D74" s="24"/>
      <c r="E74" s="24"/>
      <c r="F74" s="24"/>
    </row>
    <row r="75" spans="1:9" x14ac:dyDescent="0.2">
      <c r="C75" s="24"/>
      <c r="D75" s="24"/>
      <c r="E75" s="24"/>
      <c r="F75" s="24"/>
    </row>
    <row r="76" spans="1:9" x14ac:dyDescent="0.2">
      <c r="C76" s="24"/>
      <c r="D76" s="24"/>
      <c r="E76" s="24"/>
      <c r="F76" s="24"/>
    </row>
    <row r="77" spans="1:9" x14ac:dyDescent="0.2">
      <c r="C77" s="24"/>
      <c r="D77" s="24"/>
      <c r="E77" s="24"/>
      <c r="F77" s="24"/>
    </row>
    <row r="78" spans="1:9" x14ac:dyDescent="0.2">
      <c r="C78" s="24"/>
      <c r="D78" s="24"/>
      <c r="E78" s="24"/>
      <c r="F78" s="24"/>
    </row>
    <row r="79" spans="1:9" x14ac:dyDescent="0.2">
      <c r="C79" s="24"/>
      <c r="D79" s="24"/>
      <c r="E79" s="24"/>
      <c r="F79" s="24"/>
    </row>
    <row r="80" spans="1:9" x14ac:dyDescent="0.2">
      <c r="C80" s="24"/>
      <c r="D80" s="24"/>
      <c r="E80" s="24"/>
      <c r="F80" s="24"/>
    </row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="24" customFormat="1" x14ac:dyDescent="0.2"/>
    <row r="354" s="24" customFormat="1" x14ac:dyDescent="0.2"/>
    <row r="355" s="24" customFormat="1" x14ac:dyDescent="0.2"/>
    <row r="356" s="24" customFormat="1" x14ac:dyDescent="0.2"/>
    <row r="357" s="24" customFormat="1" x14ac:dyDescent="0.2"/>
    <row r="358" s="24" customFormat="1" x14ac:dyDescent="0.2"/>
    <row r="359" s="24" customFormat="1" x14ac:dyDescent="0.2"/>
    <row r="360" s="24" customFormat="1" x14ac:dyDescent="0.2"/>
    <row r="361" s="24" customFormat="1" x14ac:dyDescent="0.2"/>
    <row r="362" s="24" customFormat="1" x14ac:dyDescent="0.2"/>
    <row r="363" s="24" customFormat="1" x14ac:dyDescent="0.2"/>
    <row r="364" s="24" customFormat="1" x14ac:dyDescent="0.2"/>
    <row r="365" s="24" customFormat="1" x14ac:dyDescent="0.2"/>
    <row r="366" s="24" customFormat="1" x14ac:dyDescent="0.2"/>
    <row r="367" s="24" customFormat="1" x14ac:dyDescent="0.2"/>
    <row r="368" s="24" customFormat="1" x14ac:dyDescent="0.2"/>
    <row r="369" s="24" customFormat="1" x14ac:dyDescent="0.2"/>
    <row r="370" s="24" customFormat="1" x14ac:dyDescent="0.2"/>
    <row r="371" s="24" customFormat="1" x14ac:dyDescent="0.2"/>
    <row r="372" s="24" customFormat="1" x14ac:dyDescent="0.2"/>
    <row r="373" s="24" customFormat="1" x14ac:dyDescent="0.2"/>
    <row r="374" s="24" customFormat="1" x14ac:dyDescent="0.2"/>
    <row r="375" s="24" customFormat="1" x14ac:dyDescent="0.2"/>
    <row r="376" s="24" customFormat="1" x14ac:dyDescent="0.2"/>
    <row r="377" s="24" customFormat="1" x14ac:dyDescent="0.2"/>
    <row r="378" s="24" customFormat="1" x14ac:dyDescent="0.2"/>
    <row r="379" s="24" customFormat="1" x14ac:dyDescent="0.2"/>
    <row r="380" s="24" customFormat="1" x14ac:dyDescent="0.2"/>
    <row r="381" s="24" customFormat="1" x14ac:dyDescent="0.2"/>
    <row r="382" s="24" customFormat="1" x14ac:dyDescent="0.2"/>
    <row r="383" s="24" customFormat="1" x14ac:dyDescent="0.2"/>
    <row r="384" s="24" customFormat="1" x14ac:dyDescent="0.2"/>
    <row r="385" s="24" customFormat="1" x14ac:dyDescent="0.2"/>
    <row r="386" s="24" customFormat="1" x14ac:dyDescent="0.2"/>
    <row r="387" s="24" customFormat="1" x14ac:dyDescent="0.2"/>
    <row r="388" s="24" customFormat="1" x14ac:dyDescent="0.2"/>
    <row r="389" s="24" customFormat="1" x14ac:dyDescent="0.2"/>
    <row r="390" s="24" customFormat="1" x14ac:dyDescent="0.2"/>
    <row r="391" s="24" customFormat="1" x14ac:dyDescent="0.2"/>
    <row r="392" s="24" customFormat="1" x14ac:dyDescent="0.2"/>
    <row r="393" s="24" customFormat="1" x14ac:dyDescent="0.2"/>
    <row r="394" s="24" customFormat="1" x14ac:dyDescent="0.2"/>
    <row r="395" s="24" customFormat="1" x14ac:dyDescent="0.2"/>
    <row r="396" s="24" customFormat="1" x14ac:dyDescent="0.2"/>
    <row r="397" s="24" customFormat="1" x14ac:dyDescent="0.2"/>
    <row r="398" s="24" customFormat="1" x14ac:dyDescent="0.2"/>
    <row r="399" s="24" customFormat="1" x14ac:dyDescent="0.2"/>
    <row r="400" s="24" customFormat="1" x14ac:dyDescent="0.2"/>
    <row r="401" s="24" customFormat="1" x14ac:dyDescent="0.2"/>
    <row r="402" s="24" customFormat="1" x14ac:dyDescent="0.2"/>
    <row r="403" s="24" customFormat="1" x14ac:dyDescent="0.2"/>
    <row r="404" s="24" customFormat="1" x14ac:dyDescent="0.2"/>
    <row r="405" s="24" customFormat="1" x14ac:dyDescent="0.2"/>
    <row r="406" s="24" customFormat="1" x14ac:dyDescent="0.2"/>
    <row r="407" s="24" customFormat="1" x14ac:dyDescent="0.2"/>
    <row r="408" s="24" customFormat="1" x14ac:dyDescent="0.2"/>
    <row r="409" s="24" customFormat="1" x14ac:dyDescent="0.2"/>
    <row r="410" s="24" customFormat="1" x14ac:dyDescent="0.2"/>
    <row r="411" s="24" customFormat="1" x14ac:dyDescent="0.2"/>
    <row r="412" s="24" customFormat="1" x14ac:dyDescent="0.2"/>
    <row r="413" s="24" customFormat="1" x14ac:dyDescent="0.2"/>
    <row r="414" s="24" customFormat="1" x14ac:dyDescent="0.2"/>
    <row r="415" s="24" customFormat="1" x14ac:dyDescent="0.2"/>
    <row r="416" s="24" customFormat="1" x14ac:dyDescent="0.2"/>
    <row r="417" s="24" customFormat="1" x14ac:dyDescent="0.2"/>
    <row r="418" s="24" customFormat="1" x14ac:dyDescent="0.2"/>
    <row r="419" s="24" customFormat="1" x14ac:dyDescent="0.2"/>
    <row r="420" s="24" customFormat="1" x14ac:dyDescent="0.2"/>
    <row r="421" s="24" customFormat="1" x14ac:dyDescent="0.2"/>
    <row r="422" s="24" customFormat="1" x14ac:dyDescent="0.2"/>
    <row r="423" s="24" customFormat="1" x14ac:dyDescent="0.2"/>
    <row r="424" s="24" customFormat="1" x14ac:dyDescent="0.2"/>
    <row r="425" s="24" customFormat="1" x14ac:dyDescent="0.2"/>
    <row r="426" s="24" customFormat="1" x14ac:dyDescent="0.2"/>
    <row r="427" s="24" customFormat="1" x14ac:dyDescent="0.2"/>
    <row r="428" s="24" customFormat="1" x14ac:dyDescent="0.2"/>
    <row r="429" s="24" customFormat="1" x14ac:dyDescent="0.2"/>
    <row r="430" s="24" customFormat="1" x14ac:dyDescent="0.2"/>
    <row r="431" s="24" customFormat="1" x14ac:dyDescent="0.2"/>
    <row r="432" s="24" customFormat="1" x14ac:dyDescent="0.2"/>
    <row r="433" s="24" customFormat="1" x14ac:dyDescent="0.2"/>
    <row r="434" s="24" customFormat="1" x14ac:dyDescent="0.2"/>
    <row r="435" s="24" customFormat="1" x14ac:dyDescent="0.2"/>
    <row r="436" s="24" customFormat="1" x14ac:dyDescent="0.2"/>
    <row r="437" s="24" customFormat="1" x14ac:dyDescent="0.2"/>
    <row r="438" s="24" customFormat="1" x14ac:dyDescent="0.2"/>
    <row r="439" s="24" customFormat="1" x14ac:dyDescent="0.2"/>
    <row r="440" s="24" customFormat="1" x14ac:dyDescent="0.2"/>
    <row r="441" s="24" customFormat="1" x14ac:dyDescent="0.2"/>
    <row r="442" s="24" customFormat="1" x14ac:dyDescent="0.2"/>
    <row r="443" s="24" customFormat="1" x14ac:dyDescent="0.2"/>
    <row r="444" s="24" customFormat="1" x14ac:dyDescent="0.2"/>
    <row r="445" s="24" customFormat="1" x14ac:dyDescent="0.2"/>
    <row r="446" s="24" customFormat="1" x14ac:dyDescent="0.2"/>
    <row r="447" s="24" customFormat="1" x14ac:dyDescent="0.2"/>
    <row r="448" s="24" customFormat="1" x14ac:dyDescent="0.2"/>
    <row r="449" s="24" customFormat="1" x14ac:dyDescent="0.2"/>
    <row r="450" s="24" customFormat="1" x14ac:dyDescent="0.2"/>
    <row r="451" s="24" customFormat="1" x14ac:dyDescent="0.2"/>
    <row r="452" s="24" customFormat="1" x14ac:dyDescent="0.2"/>
    <row r="453" s="24" customFormat="1" x14ac:dyDescent="0.2"/>
    <row r="454" s="24" customFormat="1" x14ac:dyDescent="0.2"/>
    <row r="455" s="24" customFormat="1" x14ac:dyDescent="0.2"/>
    <row r="456" s="24" customFormat="1" x14ac:dyDescent="0.2"/>
    <row r="457" s="24" customFormat="1" x14ac:dyDescent="0.2"/>
    <row r="458" s="24" customFormat="1" x14ac:dyDescent="0.2"/>
    <row r="459" s="24" customFormat="1" x14ac:dyDescent="0.2"/>
    <row r="460" s="24" customFormat="1" x14ac:dyDescent="0.2"/>
    <row r="461" s="24" customFormat="1" x14ac:dyDescent="0.2"/>
    <row r="462" s="24" customFormat="1" x14ac:dyDescent="0.2"/>
    <row r="463" s="24" customFormat="1" x14ac:dyDescent="0.2"/>
    <row r="464" s="24" customFormat="1" x14ac:dyDescent="0.2"/>
    <row r="465" s="24" customFormat="1" x14ac:dyDescent="0.2"/>
    <row r="466" s="24" customFormat="1" x14ac:dyDescent="0.2"/>
    <row r="467" s="24" customFormat="1" x14ac:dyDescent="0.2"/>
    <row r="468" s="24" customFormat="1" x14ac:dyDescent="0.2"/>
    <row r="469" s="24" customFormat="1" x14ac:dyDescent="0.2"/>
    <row r="470" s="24" customFormat="1" x14ac:dyDescent="0.2"/>
    <row r="471" s="24" customFormat="1" x14ac:dyDescent="0.2"/>
    <row r="472" s="24" customFormat="1" x14ac:dyDescent="0.2"/>
    <row r="473" s="24" customFormat="1" x14ac:dyDescent="0.2"/>
    <row r="474" s="24" customFormat="1" x14ac:dyDescent="0.2"/>
    <row r="475" s="24" customFormat="1" x14ac:dyDescent="0.2"/>
    <row r="476" s="24" customFormat="1" x14ac:dyDescent="0.2"/>
    <row r="477" s="24" customFormat="1" x14ac:dyDescent="0.2"/>
    <row r="478" s="24" customFormat="1" x14ac:dyDescent="0.2"/>
    <row r="479" s="24" customFormat="1" x14ac:dyDescent="0.2"/>
    <row r="480" s="24" customFormat="1" x14ac:dyDescent="0.2"/>
    <row r="481" s="24" customFormat="1" x14ac:dyDescent="0.2"/>
    <row r="482" s="24" customFormat="1" x14ac:dyDescent="0.2"/>
    <row r="483" s="24" customFormat="1" x14ac:dyDescent="0.2"/>
    <row r="484" s="24" customFormat="1" x14ac:dyDescent="0.2"/>
    <row r="485" s="24" customFormat="1" x14ac:dyDescent="0.2"/>
    <row r="486" s="24" customFormat="1" x14ac:dyDescent="0.2"/>
    <row r="487" s="24" customFormat="1" x14ac:dyDescent="0.2"/>
    <row r="488" s="24" customFormat="1" x14ac:dyDescent="0.2"/>
    <row r="489" s="24" customFormat="1" x14ac:dyDescent="0.2"/>
    <row r="490" s="24" customFormat="1" x14ac:dyDescent="0.2"/>
    <row r="491" s="24" customFormat="1" x14ac:dyDescent="0.2"/>
    <row r="492" s="24" customFormat="1" x14ac:dyDescent="0.2"/>
    <row r="493" s="24" customFormat="1" x14ac:dyDescent="0.2"/>
    <row r="494" s="24" customFormat="1" x14ac:dyDescent="0.2"/>
    <row r="495" s="24" customFormat="1" x14ac:dyDescent="0.2"/>
    <row r="496" s="24" customFormat="1" x14ac:dyDescent="0.2"/>
    <row r="497" s="24" customFormat="1" x14ac:dyDescent="0.2"/>
    <row r="498" s="24" customFormat="1" x14ac:dyDescent="0.2"/>
    <row r="499" s="24" customFormat="1" x14ac:dyDescent="0.2"/>
    <row r="500" s="24" customFormat="1" x14ac:dyDescent="0.2"/>
    <row r="501" s="24" customFormat="1" x14ac:dyDescent="0.2"/>
    <row r="502" s="24" customFormat="1" x14ac:dyDescent="0.2"/>
    <row r="503" s="24" customFormat="1" x14ac:dyDescent="0.2"/>
    <row r="504" s="24" customFormat="1" x14ac:dyDescent="0.2"/>
    <row r="505" s="24" customFormat="1" x14ac:dyDescent="0.2"/>
    <row r="506" s="24" customFormat="1" x14ac:dyDescent="0.2"/>
    <row r="507" s="24" customFormat="1" x14ac:dyDescent="0.2"/>
    <row r="508" s="24" customFormat="1" x14ac:dyDescent="0.2"/>
    <row r="509" s="24" customFormat="1" x14ac:dyDescent="0.2"/>
    <row r="510" s="24" customFormat="1" x14ac:dyDescent="0.2"/>
    <row r="511" s="24" customFormat="1" x14ac:dyDescent="0.2"/>
    <row r="512" s="24" customFormat="1" x14ac:dyDescent="0.2"/>
    <row r="513" s="24" customFormat="1" x14ac:dyDescent="0.2"/>
    <row r="514" s="24" customFormat="1" x14ac:dyDescent="0.2"/>
    <row r="515" s="24" customFormat="1" x14ac:dyDescent="0.2"/>
    <row r="516" s="24" customFormat="1" x14ac:dyDescent="0.2"/>
    <row r="517" s="24" customFormat="1" x14ac:dyDescent="0.2"/>
    <row r="518" s="24" customFormat="1" x14ac:dyDescent="0.2"/>
    <row r="519" s="24" customFormat="1" x14ac:dyDescent="0.2"/>
    <row r="520" s="24" customFormat="1" x14ac:dyDescent="0.2"/>
    <row r="521" s="24" customFormat="1" x14ac:dyDescent="0.2"/>
    <row r="522" s="24" customFormat="1" x14ac:dyDescent="0.2"/>
    <row r="523" s="24" customFormat="1" x14ac:dyDescent="0.2"/>
    <row r="524" s="24" customFormat="1" x14ac:dyDescent="0.2"/>
    <row r="525" s="24" customFormat="1" x14ac:dyDescent="0.2"/>
    <row r="526" s="24" customFormat="1" x14ac:dyDescent="0.2"/>
    <row r="527" s="24" customFormat="1" x14ac:dyDescent="0.2"/>
    <row r="528" s="24" customFormat="1" x14ac:dyDescent="0.2"/>
    <row r="529" s="24" customFormat="1" x14ac:dyDescent="0.2"/>
    <row r="530" s="24" customFormat="1" x14ac:dyDescent="0.2"/>
    <row r="531" s="24" customFormat="1" x14ac:dyDescent="0.2"/>
    <row r="532" s="24" customFormat="1" x14ac:dyDescent="0.2"/>
    <row r="533" s="24" customFormat="1" x14ac:dyDescent="0.2"/>
    <row r="534" s="24" customFormat="1" x14ac:dyDescent="0.2"/>
    <row r="535" s="24" customFormat="1" x14ac:dyDescent="0.2"/>
    <row r="536" s="24" customFormat="1" x14ac:dyDescent="0.2"/>
    <row r="537" s="24" customFormat="1" x14ac:dyDescent="0.2"/>
    <row r="538" s="24" customFormat="1" x14ac:dyDescent="0.2"/>
    <row r="539" s="24" customFormat="1" x14ac:dyDescent="0.2"/>
    <row r="540" s="24" customFormat="1" x14ac:dyDescent="0.2"/>
    <row r="541" s="24" customFormat="1" x14ac:dyDescent="0.2"/>
    <row r="542" s="24" customFormat="1" x14ac:dyDescent="0.2"/>
    <row r="543" s="24" customFormat="1" x14ac:dyDescent="0.2"/>
    <row r="544" s="24" customFormat="1" x14ac:dyDescent="0.2"/>
    <row r="545" s="24" customFormat="1" x14ac:dyDescent="0.2"/>
    <row r="546" s="24" customFormat="1" x14ac:dyDescent="0.2"/>
    <row r="547" s="24" customFormat="1" x14ac:dyDescent="0.2"/>
    <row r="548" s="24" customFormat="1" x14ac:dyDescent="0.2"/>
    <row r="549" s="24" customFormat="1" x14ac:dyDescent="0.2"/>
    <row r="550" s="24" customFormat="1" x14ac:dyDescent="0.2"/>
    <row r="551" s="24" customFormat="1" x14ac:dyDescent="0.2"/>
    <row r="552" s="24" customFormat="1" x14ac:dyDescent="0.2"/>
    <row r="553" s="24" customFormat="1" x14ac:dyDescent="0.2"/>
    <row r="554" s="24" customFormat="1" x14ac:dyDescent="0.2"/>
    <row r="555" s="24" customFormat="1" x14ac:dyDescent="0.2"/>
    <row r="556" s="24" customFormat="1" x14ac:dyDescent="0.2"/>
    <row r="557" s="24" customFormat="1" x14ac:dyDescent="0.2"/>
    <row r="558" s="24" customFormat="1" x14ac:dyDescent="0.2"/>
    <row r="559" s="24" customFormat="1" x14ac:dyDescent="0.2"/>
    <row r="560" s="24" customFormat="1" x14ac:dyDescent="0.2"/>
    <row r="561" s="24" customFormat="1" x14ac:dyDescent="0.2"/>
    <row r="562" s="24" customFormat="1" x14ac:dyDescent="0.2"/>
    <row r="563" s="24" customFormat="1" x14ac:dyDescent="0.2"/>
    <row r="564" s="24" customFormat="1" x14ac:dyDescent="0.2"/>
    <row r="565" s="24" customFormat="1" x14ac:dyDescent="0.2"/>
    <row r="566" s="24" customFormat="1" x14ac:dyDescent="0.2"/>
    <row r="567" s="24" customFormat="1" x14ac:dyDescent="0.2"/>
    <row r="568" s="24" customFormat="1" x14ac:dyDescent="0.2"/>
    <row r="569" s="24" customFormat="1" x14ac:dyDescent="0.2"/>
    <row r="570" s="24" customFormat="1" x14ac:dyDescent="0.2"/>
    <row r="571" s="24" customFormat="1" x14ac:dyDescent="0.2"/>
    <row r="572" s="24" customFormat="1" x14ac:dyDescent="0.2"/>
    <row r="573" s="24" customFormat="1" x14ac:dyDescent="0.2"/>
    <row r="574" s="24" customFormat="1" x14ac:dyDescent="0.2"/>
    <row r="575" s="24" customFormat="1" x14ac:dyDescent="0.2"/>
    <row r="576" s="24" customFormat="1" x14ac:dyDescent="0.2"/>
    <row r="577" s="24" customFormat="1" x14ac:dyDescent="0.2"/>
    <row r="578" s="24" customFormat="1" x14ac:dyDescent="0.2"/>
    <row r="579" s="24" customFormat="1" x14ac:dyDescent="0.2"/>
    <row r="580" s="24" customFormat="1" x14ac:dyDescent="0.2"/>
    <row r="581" s="24" customFormat="1" x14ac:dyDescent="0.2"/>
    <row r="582" s="24" customFormat="1" x14ac:dyDescent="0.2"/>
    <row r="583" s="24" customFormat="1" x14ac:dyDescent="0.2"/>
    <row r="584" s="24" customFormat="1" x14ac:dyDescent="0.2"/>
    <row r="585" s="24" customFormat="1" x14ac:dyDescent="0.2"/>
    <row r="586" s="24" customFormat="1" x14ac:dyDescent="0.2"/>
    <row r="587" s="24" customFormat="1" x14ac:dyDescent="0.2"/>
    <row r="588" s="24" customFormat="1" x14ac:dyDescent="0.2"/>
    <row r="589" s="24" customFormat="1" x14ac:dyDescent="0.2"/>
    <row r="590" s="24" customFormat="1" x14ac:dyDescent="0.2"/>
    <row r="591" s="24" customFormat="1" x14ac:dyDescent="0.2"/>
    <row r="592" s="24" customFormat="1" x14ac:dyDescent="0.2"/>
    <row r="593" s="24" customFormat="1" x14ac:dyDescent="0.2"/>
    <row r="594" s="24" customFormat="1" x14ac:dyDescent="0.2"/>
    <row r="595" s="24" customFormat="1" x14ac:dyDescent="0.2"/>
    <row r="596" s="24" customFormat="1" x14ac:dyDescent="0.2"/>
    <row r="597" s="24" customFormat="1" x14ac:dyDescent="0.2"/>
    <row r="598" s="24" customFormat="1" x14ac:dyDescent="0.2"/>
    <row r="599" s="24" customFormat="1" x14ac:dyDescent="0.2"/>
    <row r="600" s="24" customFormat="1" x14ac:dyDescent="0.2"/>
    <row r="601" s="24" customFormat="1" x14ac:dyDescent="0.2"/>
    <row r="602" s="24" customFormat="1" x14ac:dyDescent="0.2"/>
    <row r="603" s="24" customFormat="1" x14ac:dyDescent="0.2"/>
    <row r="604" s="24" customFormat="1" x14ac:dyDescent="0.2"/>
    <row r="605" s="24" customFormat="1" x14ac:dyDescent="0.2"/>
    <row r="606" s="24" customFormat="1" x14ac:dyDescent="0.2"/>
    <row r="607" s="24" customFormat="1" x14ac:dyDescent="0.2"/>
    <row r="608" s="24" customFormat="1" x14ac:dyDescent="0.2"/>
    <row r="609" s="24" customFormat="1" x14ac:dyDescent="0.2"/>
    <row r="610" s="24" customFormat="1" x14ac:dyDescent="0.2"/>
    <row r="611" s="24" customFormat="1" x14ac:dyDescent="0.2"/>
    <row r="612" s="24" customFormat="1" x14ac:dyDescent="0.2"/>
    <row r="613" s="24" customFormat="1" x14ac:dyDescent="0.2"/>
    <row r="614" s="24" customFormat="1" x14ac:dyDescent="0.2"/>
    <row r="615" s="24" customFormat="1" x14ac:dyDescent="0.2"/>
    <row r="616" s="24" customFormat="1" x14ac:dyDescent="0.2"/>
    <row r="617" s="24" customFormat="1" x14ac:dyDescent="0.2"/>
    <row r="618" s="24" customFormat="1" x14ac:dyDescent="0.2"/>
    <row r="619" s="24" customFormat="1" x14ac:dyDescent="0.2"/>
    <row r="620" s="24" customFormat="1" x14ac:dyDescent="0.2"/>
    <row r="621" s="24" customFormat="1" x14ac:dyDescent="0.2"/>
    <row r="622" s="24" customFormat="1" x14ac:dyDescent="0.2"/>
    <row r="623" s="24" customFormat="1" x14ac:dyDescent="0.2"/>
    <row r="624" s="24" customFormat="1" x14ac:dyDescent="0.2"/>
    <row r="625" s="24" customFormat="1" x14ac:dyDescent="0.2"/>
    <row r="626" s="24" customFormat="1" x14ac:dyDescent="0.2"/>
    <row r="627" s="24" customFormat="1" x14ac:dyDescent="0.2"/>
    <row r="628" s="24" customFormat="1" x14ac:dyDescent="0.2"/>
    <row r="629" s="24" customFormat="1" x14ac:dyDescent="0.2"/>
    <row r="630" s="24" customFormat="1" x14ac:dyDescent="0.2"/>
    <row r="631" s="24" customFormat="1" x14ac:dyDescent="0.2"/>
    <row r="632" s="24" customFormat="1" x14ac:dyDescent="0.2"/>
    <row r="633" s="24" customFormat="1" x14ac:dyDescent="0.2"/>
    <row r="634" s="24" customFormat="1" x14ac:dyDescent="0.2"/>
    <row r="635" s="24" customFormat="1" x14ac:dyDescent="0.2"/>
    <row r="636" s="24" customFormat="1" x14ac:dyDescent="0.2"/>
    <row r="637" s="24" customFormat="1" x14ac:dyDescent="0.2"/>
    <row r="638" s="24" customFormat="1" x14ac:dyDescent="0.2"/>
    <row r="639" s="24" customFormat="1" x14ac:dyDescent="0.2"/>
    <row r="640" s="24" customFormat="1" x14ac:dyDescent="0.2"/>
    <row r="641" s="24" customFormat="1" x14ac:dyDescent="0.2"/>
    <row r="642" s="24" customFormat="1" x14ac:dyDescent="0.2"/>
    <row r="643" s="24" customFormat="1" x14ac:dyDescent="0.2"/>
    <row r="644" s="24" customFormat="1" x14ac:dyDescent="0.2"/>
    <row r="645" s="24" customFormat="1" x14ac:dyDescent="0.2"/>
    <row r="646" s="24" customFormat="1" x14ac:dyDescent="0.2"/>
    <row r="647" s="24" customFormat="1" x14ac:dyDescent="0.2"/>
    <row r="648" s="24" customFormat="1" x14ac:dyDescent="0.2"/>
    <row r="649" s="24" customFormat="1" x14ac:dyDescent="0.2"/>
    <row r="650" s="24" customFormat="1" x14ac:dyDescent="0.2"/>
    <row r="651" s="24" customFormat="1" x14ac:dyDescent="0.2"/>
    <row r="652" s="24" customFormat="1" x14ac:dyDescent="0.2"/>
    <row r="653" s="24" customFormat="1" x14ac:dyDescent="0.2"/>
    <row r="654" s="24" customFormat="1" x14ac:dyDescent="0.2"/>
    <row r="655" s="24" customFormat="1" x14ac:dyDescent="0.2"/>
    <row r="656" s="24" customFormat="1" x14ac:dyDescent="0.2"/>
    <row r="657" s="24" customFormat="1" x14ac:dyDescent="0.2"/>
    <row r="658" s="24" customFormat="1" x14ac:dyDescent="0.2"/>
    <row r="659" s="24" customFormat="1" x14ac:dyDescent="0.2"/>
    <row r="660" s="24" customFormat="1" x14ac:dyDescent="0.2"/>
    <row r="661" s="24" customFormat="1" x14ac:dyDescent="0.2"/>
    <row r="662" s="24" customFormat="1" x14ac:dyDescent="0.2"/>
    <row r="663" s="24" customFormat="1" x14ac:dyDescent="0.2"/>
    <row r="664" s="24" customFormat="1" x14ac:dyDescent="0.2"/>
    <row r="665" s="24" customFormat="1" x14ac:dyDescent="0.2"/>
    <row r="666" s="24" customFormat="1" x14ac:dyDescent="0.2"/>
    <row r="667" s="24" customFormat="1" x14ac:dyDescent="0.2"/>
    <row r="668" s="24" customFormat="1" x14ac:dyDescent="0.2"/>
    <row r="669" s="24" customFormat="1" x14ac:dyDescent="0.2"/>
    <row r="670" s="24" customFormat="1" x14ac:dyDescent="0.2"/>
    <row r="671" s="24" customFormat="1" x14ac:dyDescent="0.2"/>
    <row r="672" s="24" customFormat="1" x14ac:dyDescent="0.2"/>
    <row r="673" s="24" customFormat="1" x14ac:dyDescent="0.2"/>
    <row r="674" s="24" customFormat="1" x14ac:dyDescent="0.2"/>
    <row r="675" s="24" customFormat="1" x14ac:dyDescent="0.2"/>
    <row r="676" s="24" customFormat="1" x14ac:dyDescent="0.2"/>
    <row r="677" s="24" customFormat="1" x14ac:dyDescent="0.2"/>
    <row r="678" s="24" customFormat="1" x14ac:dyDescent="0.2"/>
    <row r="679" s="24" customFormat="1" x14ac:dyDescent="0.2"/>
    <row r="680" s="24" customFormat="1" x14ac:dyDescent="0.2"/>
    <row r="681" s="24" customFormat="1" x14ac:dyDescent="0.2"/>
    <row r="682" s="24" customFormat="1" x14ac:dyDescent="0.2"/>
    <row r="683" s="24" customFormat="1" x14ac:dyDescent="0.2"/>
    <row r="684" s="24" customFormat="1" x14ac:dyDescent="0.2"/>
    <row r="685" s="24" customFormat="1" x14ac:dyDescent="0.2"/>
    <row r="686" s="24" customFormat="1" x14ac:dyDescent="0.2"/>
    <row r="687" s="24" customFormat="1" x14ac:dyDescent="0.2"/>
    <row r="688" s="24" customFormat="1" x14ac:dyDescent="0.2"/>
    <row r="689" s="24" customFormat="1" x14ac:dyDescent="0.2"/>
    <row r="690" s="24" customFormat="1" x14ac:dyDescent="0.2"/>
    <row r="691" s="24" customFormat="1" x14ac:dyDescent="0.2"/>
    <row r="692" s="24" customFormat="1" x14ac:dyDescent="0.2"/>
    <row r="693" s="24" customFormat="1" x14ac:dyDescent="0.2"/>
    <row r="694" s="24" customFormat="1" x14ac:dyDescent="0.2"/>
    <row r="695" s="24" customFormat="1" x14ac:dyDescent="0.2"/>
    <row r="696" s="24" customFormat="1" x14ac:dyDescent="0.2"/>
    <row r="697" s="24" customFormat="1" x14ac:dyDescent="0.2"/>
    <row r="698" s="24" customFormat="1" x14ac:dyDescent="0.2"/>
    <row r="699" s="24" customFormat="1" x14ac:dyDescent="0.2"/>
    <row r="700" s="24" customFormat="1" x14ac:dyDescent="0.2"/>
    <row r="701" s="24" customFormat="1" x14ac:dyDescent="0.2"/>
    <row r="702" s="24" customFormat="1" x14ac:dyDescent="0.2"/>
    <row r="703" s="24" customFormat="1" x14ac:dyDescent="0.2"/>
    <row r="704" s="24" customFormat="1" x14ac:dyDescent="0.2"/>
    <row r="705" s="24" customFormat="1" x14ac:dyDescent="0.2"/>
    <row r="706" s="24" customFormat="1" x14ac:dyDescent="0.2"/>
    <row r="707" s="24" customFormat="1" x14ac:dyDescent="0.2"/>
    <row r="708" s="24" customFormat="1" x14ac:dyDescent="0.2"/>
    <row r="709" s="24" customFormat="1" x14ac:dyDescent="0.2"/>
    <row r="710" s="24" customFormat="1" x14ac:dyDescent="0.2"/>
    <row r="711" s="24" customFormat="1" x14ac:dyDescent="0.2"/>
    <row r="712" s="24" customFormat="1" x14ac:dyDescent="0.2"/>
    <row r="713" s="24" customFormat="1" x14ac:dyDescent="0.2"/>
    <row r="714" s="24" customFormat="1" x14ac:dyDescent="0.2"/>
    <row r="715" s="24" customFormat="1" x14ac:dyDescent="0.2"/>
    <row r="716" s="24" customFormat="1" x14ac:dyDescent="0.2"/>
    <row r="717" s="24" customFormat="1" x14ac:dyDescent="0.2"/>
    <row r="718" s="24" customFormat="1" x14ac:dyDescent="0.2"/>
    <row r="719" s="24" customFormat="1" x14ac:dyDescent="0.2"/>
    <row r="720" s="24" customFormat="1" x14ac:dyDescent="0.2"/>
    <row r="721" s="24" customFormat="1" x14ac:dyDescent="0.2"/>
    <row r="722" s="24" customFormat="1" x14ac:dyDescent="0.2"/>
    <row r="723" s="24" customFormat="1" x14ac:dyDescent="0.2"/>
    <row r="724" s="24" customFormat="1" x14ac:dyDescent="0.2"/>
    <row r="725" s="24" customFormat="1" x14ac:dyDescent="0.2"/>
    <row r="726" s="24" customFormat="1" x14ac:dyDescent="0.2"/>
    <row r="727" s="24" customFormat="1" x14ac:dyDescent="0.2"/>
    <row r="728" s="24" customFormat="1" x14ac:dyDescent="0.2"/>
    <row r="729" s="24" customFormat="1" x14ac:dyDescent="0.2"/>
    <row r="730" s="24" customFormat="1" x14ac:dyDescent="0.2"/>
    <row r="731" s="24" customFormat="1" x14ac:dyDescent="0.2"/>
    <row r="732" s="24" customFormat="1" x14ac:dyDescent="0.2"/>
    <row r="733" s="24" customFormat="1" x14ac:dyDescent="0.2"/>
    <row r="734" s="24" customFormat="1" x14ac:dyDescent="0.2"/>
    <row r="735" s="24" customFormat="1" x14ac:dyDescent="0.2"/>
    <row r="736" s="24" customFormat="1" x14ac:dyDescent="0.2"/>
    <row r="737" s="24" customFormat="1" x14ac:dyDescent="0.2"/>
    <row r="738" s="24" customFormat="1" x14ac:dyDescent="0.2"/>
    <row r="739" s="24" customFormat="1" x14ac:dyDescent="0.2"/>
    <row r="740" s="24" customFormat="1" x14ac:dyDescent="0.2"/>
    <row r="741" s="24" customFormat="1" x14ac:dyDescent="0.2"/>
    <row r="742" s="24" customFormat="1" x14ac:dyDescent="0.2"/>
    <row r="743" s="24" customFormat="1" x14ac:dyDescent="0.2"/>
    <row r="744" s="24" customFormat="1" x14ac:dyDescent="0.2"/>
    <row r="745" s="24" customFormat="1" x14ac:dyDescent="0.2"/>
    <row r="746" s="24" customFormat="1" x14ac:dyDescent="0.2"/>
    <row r="747" s="24" customFormat="1" x14ac:dyDescent="0.2"/>
    <row r="748" s="24" customFormat="1" x14ac:dyDescent="0.2"/>
    <row r="749" s="24" customFormat="1" x14ac:dyDescent="0.2"/>
    <row r="750" s="24" customFormat="1" x14ac:dyDescent="0.2"/>
    <row r="751" s="24" customFormat="1" x14ac:dyDescent="0.2"/>
    <row r="752" s="24" customFormat="1" x14ac:dyDescent="0.2"/>
    <row r="753" s="24" customFormat="1" x14ac:dyDescent="0.2"/>
    <row r="754" s="24" customFormat="1" x14ac:dyDescent="0.2"/>
    <row r="755" s="24" customFormat="1" x14ac:dyDescent="0.2"/>
    <row r="756" s="24" customFormat="1" x14ac:dyDescent="0.2"/>
    <row r="757" s="24" customFormat="1" x14ac:dyDescent="0.2"/>
    <row r="758" s="24" customFormat="1" x14ac:dyDescent="0.2"/>
    <row r="759" s="24" customFormat="1" x14ac:dyDescent="0.2"/>
    <row r="760" s="24" customFormat="1" x14ac:dyDescent="0.2"/>
    <row r="761" s="24" customFormat="1" x14ac:dyDescent="0.2"/>
    <row r="762" s="24" customFormat="1" x14ac:dyDescent="0.2"/>
    <row r="763" s="24" customFormat="1" x14ac:dyDescent="0.2"/>
    <row r="764" s="24" customFormat="1" x14ac:dyDescent="0.2"/>
    <row r="765" s="24" customFormat="1" x14ac:dyDescent="0.2"/>
    <row r="766" s="24" customFormat="1" x14ac:dyDescent="0.2"/>
    <row r="767" s="24" customFormat="1" x14ac:dyDescent="0.2"/>
    <row r="768" s="24" customFormat="1" x14ac:dyDescent="0.2"/>
    <row r="769" s="24" customFormat="1" x14ac:dyDescent="0.2"/>
    <row r="770" s="24" customFormat="1" x14ac:dyDescent="0.2"/>
    <row r="771" s="24" customFormat="1" x14ac:dyDescent="0.2"/>
    <row r="772" s="24" customFormat="1" x14ac:dyDescent="0.2"/>
    <row r="773" s="24" customFormat="1" x14ac:dyDescent="0.2"/>
    <row r="774" s="24" customFormat="1" x14ac:dyDescent="0.2"/>
    <row r="775" s="24" customFormat="1" x14ac:dyDescent="0.2"/>
    <row r="776" s="24" customFormat="1" x14ac:dyDescent="0.2"/>
    <row r="777" s="24" customFormat="1" x14ac:dyDescent="0.2"/>
    <row r="778" s="24" customFormat="1" x14ac:dyDescent="0.2"/>
    <row r="779" s="24" customFormat="1" x14ac:dyDescent="0.2"/>
    <row r="780" s="24" customFormat="1" x14ac:dyDescent="0.2"/>
    <row r="781" s="24" customFormat="1" x14ac:dyDescent="0.2"/>
    <row r="782" s="24" customFormat="1" x14ac:dyDescent="0.2"/>
    <row r="783" s="24" customFormat="1" x14ac:dyDescent="0.2"/>
    <row r="784" s="24" customFormat="1" x14ac:dyDescent="0.2"/>
    <row r="785" s="24" customFormat="1" x14ac:dyDescent="0.2"/>
    <row r="786" s="24" customFormat="1" x14ac:dyDescent="0.2"/>
    <row r="787" s="24" customFormat="1" x14ac:dyDescent="0.2"/>
    <row r="788" s="24" customFormat="1" x14ac:dyDescent="0.2"/>
    <row r="789" s="24" customFormat="1" x14ac:dyDescent="0.2"/>
    <row r="790" s="24" customFormat="1" x14ac:dyDescent="0.2"/>
    <row r="791" s="24" customFormat="1" x14ac:dyDescent="0.2"/>
    <row r="792" s="24" customFormat="1" x14ac:dyDescent="0.2"/>
    <row r="793" s="24" customFormat="1" x14ac:dyDescent="0.2"/>
    <row r="794" s="24" customFormat="1" x14ac:dyDescent="0.2"/>
    <row r="795" s="24" customFormat="1" x14ac:dyDescent="0.2"/>
    <row r="796" s="24" customFormat="1" x14ac:dyDescent="0.2"/>
    <row r="797" s="24" customFormat="1" x14ac:dyDescent="0.2"/>
    <row r="798" s="24" customFormat="1" x14ac:dyDescent="0.2"/>
    <row r="799" s="24" customFormat="1" x14ac:dyDescent="0.2"/>
    <row r="800" s="24" customFormat="1" x14ac:dyDescent="0.2"/>
    <row r="801" s="24" customFormat="1" x14ac:dyDescent="0.2"/>
    <row r="802" s="24" customFormat="1" x14ac:dyDescent="0.2"/>
    <row r="803" s="24" customFormat="1" x14ac:dyDescent="0.2"/>
    <row r="804" s="24" customFormat="1" x14ac:dyDescent="0.2"/>
    <row r="805" s="24" customFormat="1" x14ac:dyDescent="0.2"/>
    <row r="806" s="24" customFormat="1" x14ac:dyDescent="0.2"/>
    <row r="807" s="24" customFormat="1" x14ac:dyDescent="0.2"/>
    <row r="808" s="24" customFormat="1" x14ac:dyDescent="0.2"/>
    <row r="809" s="24" customFormat="1" x14ac:dyDescent="0.2"/>
    <row r="810" s="24" customFormat="1" x14ac:dyDescent="0.2"/>
    <row r="811" s="24" customFormat="1" x14ac:dyDescent="0.2"/>
    <row r="812" s="24" customFormat="1" x14ac:dyDescent="0.2"/>
    <row r="813" s="24" customFormat="1" x14ac:dyDescent="0.2"/>
    <row r="814" s="24" customFormat="1" x14ac:dyDescent="0.2"/>
    <row r="815" s="24" customFormat="1" x14ac:dyDescent="0.2"/>
    <row r="816" s="24" customFormat="1" x14ac:dyDescent="0.2"/>
    <row r="817" s="24" customFormat="1" x14ac:dyDescent="0.2"/>
    <row r="818" s="24" customFormat="1" x14ac:dyDescent="0.2"/>
    <row r="819" s="24" customFormat="1" x14ac:dyDescent="0.2"/>
    <row r="820" s="24" customFormat="1" x14ac:dyDescent="0.2"/>
    <row r="821" s="24" customFormat="1" x14ac:dyDescent="0.2"/>
    <row r="822" s="24" customFormat="1" x14ac:dyDescent="0.2"/>
    <row r="823" s="24" customFormat="1" x14ac:dyDescent="0.2"/>
    <row r="824" s="24" customFormat="1" x14ac:dyDescent="0.2"/>
    <row r="825" s="24" customFormat="1" x14ac:dyDescent="0.2"/>
    <row r="826" s="24" customFormat="1" x14ac:dyDescent="0.2"/>
    <row r="827" s="24" customFormat="1" x14ac:dyDescent="0.2"/>
    <row r="828" s="24" customFormat="1" x14ac:dyDescent="0.2"/>
    <row r="829" s="24" customFormat="1" x14ac:dyDescent="0.2"/>
    <row r="830" s="24" customFormat="1" x14ac:dyDescent="0.2"/>
    <row r="831" s="24" customFormat="1" x14ac:dyDescent="0.2"/>
    <row r="832" s="24" customFormat="1" x14ac:dyDescent="0.2"/>
    <row r="833" s="24" customFormat="1" x14ac:dyDescent="0.2"/>
    <row r="834" s="24" customFormat="1" x14ac:dyDescent="0.2"/>
    <row r="835" s="24" customFormat="1" x14ac:dyDescent="0.2"/>
    <row r="836" s="24" customFormat="1" x14ac:dyDescent="0.2"/>
    <row r="837" s="24" customFormat="1" x14ac:dyDescent="0.2"/>
    <row r="838" s="24" customFormat="1" x14ac:dyDescent="0.2"/>
    <row r="839" s="24" customFormat="1" x14ac:dyDescent="0.2"/>
    <row r="840" s="24" customFormat="1" x14ac:dyDescent="0.2"/>
    <row r="841" s="24" customFormat="1" x14ac:dyDescent="0.2"/>
    <row r="842" s="24" customFormat="1" x14ac:dyDescent="0.2"/>
    <row r="843" s="24" customFormat="1" x14ac:dyDescent="0.2"/>
    <row r="844" s="24" customFormat="1" x14ac:dyDescent="0.2"/>
    <row r="845" s="24" customFormat="1" x14ac:dyDescent="0.2"/>
    <row r="846" s="24" customFormat="1" x14ac:dyDescent="0.2"/>
    <row r="847" s="24" customFormat="1" x14ac:dyDescent="0.2"/>
    <row r="848" s="24" customFormat="1" x14ac:dyDescent="0.2"/>
    <row r="849" s="24" customFormat="1" x14ac:dyDescent="0.2"/>
    <row r="850" s="24" customFormat="1" x14ac:dyDescent="0.2"/>
    <row r="851" s="24" customFormat="1" x14ac:dyDescent="0.2"/>
    <row r="852" s="24" customFormat="1" x14ac:dyDescent="0.2"/>
    <row r="853" s="24" customFormat="1" x14ac:dyDescent="0.2"/>
    <row r="854" s="24" customFormat="1" x14ac:dyDescent="0.2"/>
    <row r="855" s="24" customFormat="1" x14ac:dyDescent="0.2"/>
    <row r="856" s="24" customFormat="1" x14ac:dyDescent="0.2"/>
    <row r="857" s="24" customFormat="1" x14ac:dyDescent="0.2"/>
    <row r="858" s="24" customFormat="1" x14ac:dyDescent="0.2"/>
    <row r="859" s="24" customFormat="1" x14ac:dyDescent="0.2"/>
    <row r="860" s="24" customFormat="1" x14ac:dyDescent="0.2"/>
    <row r="861" s="24" customFormat="1" x14ac:dyDescent="0.2"/>
    <row r="862" s="24" customFormat="1" x14ac:dyDescent="0.2"/>
    <row r="863" s="24" customFormat="1" x14ac:dyDescent="0.2"/>
    <row r="864" s="24" customFormat="1" x14ac:dyDescent="0.2"/>
    <row r="865" s="24" customFormat="1" x14ac:dyDescent="0.2"/>
    <row r="866" s="24" customFormat="1" x14ac:dyDescent="0.2"/>
    <row r="867" s="24" customFormat="1" x14ac:dyDescent="0.2"/>
    <row r="868" s="24" customFormat="1" x14ac:dyDescent="0.2"/>
    <row r="869" s="24" customFormat="1" x14ac:dyDescent="0.2"/>
    <row r="870" s="24" customFormat="1" x14ac:dyDescent="0.2"/>
    <row r="871" s="24" customFormat="1" x14ac:dyDescent="0.2"/>
    <row r="872" s="24" customFormat="1" x14ac:dyDescent="0.2"/>
    <row r="873" s="24" customFormat="1" x14ac:dyDescent="0.2"/>
    <row r="874" s="24" customFormat="1" x14ac:dyDescent="0.2"/>
    <row r="875" s="24" customFormat="1" x14ac:dyDescent="0.2"/>
    <row r="876" s="24" customFormat="1" x14ac:dyDescent="0.2"/>
    <row r="877" s="24" customFormat="1" x14ac:dyDescent="0.2"/>
    <row r="878" s="24" customFormat="1" x14ac:dyDescent="0.2"/>
    <row r="879" s="24" customFormat="1" x14ac:dyDescent="0.2"/>
    <row r="880" s="24" customFormat="1" x14ac:dyDescent="0.2"/>
    <row r="881" s="24" customFormat="1" x14ac:dyDescent="0.2"/>
    <row r="882" s="24" customFormat="1" x14ac:dyDescent="0.2"/>
    <row r="883" s="24" customFormat="1" x14ac:dyDescent="0.2"/>
    <row r="884" s="24" customFormat="1" x14ac:dyDescent="0.2"/>
    <row r="885" s="24" customFormat="1" x14ac:dyDescent="0.2"/>
    <row r="886" s="24" customFormat="1" x14ac:dyDescent="0.2"/>
    <row r="887" s="24" customFormat="1" x14ac:dyDescent="0.2"/>
    <row r="888" s="24" customFormat="1" x14ac:dyDescent="0.2"/>
    <row r="889" s="24" customFormat="1" x14ac:dyDescent="0.2"/>
    <row r="890" s="24" customFormat="1" x14ac:dyDescent="0.2"/>
    <row r="891" s="24" customFormat="1" x14ac:dyDescent="0.2"/>
    <row r="892" s="24" customFormat="1" x14ac:dyDescent="0.2"/>
    <row r="893" s="24" customFormat="1" x14ac:dyDescent="0.2"/>
    <row r="894" s="24" customFormat="1" x14ac:dyDescent="0.2"/>
    <row r="895" s="24" customFormat="1" x14ac:dyDescent="0.2"/>
    <row r="896" s="24" customFormat="1" x14ac:dyDescent="0.2"/>
    <row r="897" s="24" customFormat="1" x14ac:dyDescent="0.2"/>
    <row r="898" s="24" customFormat="1" x14ac:dyDescent="0.2"/>
    <row r="899" s="24" customFormat="1" x14ac:dyDescent="0.2"/>
    <row r="900" s="24" customFormat="1" x14ac:dyDescent="0.2"/>
    <row r="901" s="24" customFormat="1" x14ac:dyDescent="0.2"/>
    <row r="902" s="24" customFormat="1" x14ac:dyDescent="0.2"/>
    <row r="903" s="24" customFormat="1" x14ac:dyDescent="0.2"/>
    <row r="904" s="24" customFormat="1" x14ac:dyDescent="0.2"/>
    <row r="905" s="24" customFormat="1" x14ac:dyDescent="0.2"/>
    <row r="906" s="24" customFormat="1" x14ac:dyDescent="0.2"/>
    <row r="907" s="24" customFormat="1" x14ac:dyDescent="0.2"/>
    <row r="908" s="24" customFormat="1" x14ac:dyDescent="0.2"/>
    <row r="909" s="24" customFormat="1" x14ac:dyDescent="0.2"/>
    <row r="910" s="24" customFormat="1" x14ac:dyDescent="0.2"/>
    <row r="911" s="24" customFormat="1" x14ac:dyDescent="0.2"/>
    <row r="912" s="24" customFormat="1" x14ac:dyDescent="0.2"/>
    <row r="913" s="24" customFormat="1" x14ac:dyDescent="0.2"/>
    <row r="914" s="24" customFormat="1" x14ac:dyDescent="0.2"/>
    <row r="915" s="24" customFormat="1" x14ac:dyDescent="0.2"/>
    <row r="916" s="24" customFormat="1" x14ac:dyDescent="0.2"/>
    <row r="917" s="24" customFormat="1" x14ac:dyDescent="0.2"/>
    <row r="918" s="24" customFormat="1" x14ac:dyDescent="0.2"/>
    <row r="919" s="24" customFormat="1" x14ac:dyDescent="0.2"/>
    <row r="920" s="24" customFormat="1" x14ac:dyDescent="0.2"/>
    <row r="921" s="24" customFormat="1" x14ac:dyDescent="0.2"/>
    <row r="922" s="24" customFormat="1" x14ac:dyDescent="0.2"/>
    <row r="923" s="24" customFormat="1" x14ac:dyDescent="0.2"/>
    <row r="924" s="24" customFormat="1" x14ac:dyDescent="0.2"/>
    <row r="925" s="24" customFormat="1" x14ac:dyDescent="0.2"/>
    <row r="926" s="24" customFormat="1" x14ac:dyDescent="0.2"/>
    <row r="927" s="24" customFormat="1" x14ac:dyDescent="0.2"/>
    <row r="928" s="24" customFormat="1" x14ac:dyDescent="0.2"/>
    <row r="929" s="24" customFormat="1" x14ac:dyDescent="0.2"/>
    <row r="930" s="24" customFormat="1" x14ac:dyDescent="0.2"/>
    <row r="931" s="24" customFormat="1" x14ac:dyDescent="0.2"/>
    <row r="932" s="24" customFormat="1" x14ac:dyDescent="0.2"/>
    <row r="933" s="24" customFormat="1" x14ac:dyDescent="0.2"/>
    <row r="934" s="24" customFormat="1" x14ac:dyDescent="0.2"/>
    <row r="935" s="24" customFormat="1" x14ac:dyDescent="0.2"/>
    <row r="936" s="24" customFormat="1" x14ac:dyDescent="0.2"/>
    <row r="937" s="24" customFormat="1" x14ac:dyDescent="0.2"/>
    <row r="938" s="24" customFormat="1" x14ac:dyDescent="0.2"/>
    <row r="939" s="24" customFormat="1" x14ac:dyDescent="0.2"/>
    <row r="940" s="24" customFormat="1" x14ac:dyDescent="0.2"/>
    <row r="941" s="24" customFormat="1" x14ac:dyDescent="0.2"/>
    <row r="942" s="24" customFormat="1" x14ac:dyDescent="0.2"/>
    <row r="943" s="24" customFormat="1" x14ac:dyDescent="0.2"/>
    <row r="944" s="24" customFormat="1" x14ac:dyDescent="0.2"/>
    <row r="945" s="24" customFormat="1" x14ac:dyDescent="0.2"/>
    <row r="946" s="24" customFormat="1" x14ac:dyDescent="0.2"/>
    <row r="947" s="24" customFormat="1" x14ac:dyDescent="0.2"/>
    <row r="948" s="24" customFormat="1" x14ac:dyDescent="0.2"/>
    <row r="949" s="24" customFormat="1" x14ac:dyDescent="0.2"/>
    <row r="950" s="24" customFormat="1" x14ac:dyDescent="0.2"/>
    <row r="951" s="24" customFormat="1" x14ac:dyDescent="0.2"/>
    <row r="952" s="24" customFormat="1" x14ac:dyDescent="0.2"/>
    <row r="953" s="24" customFormat="1" x14ac:dyDescent="0.2"/>
    <row r="954" s="24" customFormat="1" x14ac:dyDescent="0.2"/>
    <row r="955" s="24" customFormat="1" x14ac:dyDescent="0.2"/>
    <row r="956" s="24" customFormat="1" x14ac:dyDescent="0.2"/>
    <row r="957" s="24" customFormat="1" x14ac:dyDescent="0.2"/>
    <row r="958" s="24" customFormat="1" x14ac:dyDescent="0.2"/>
    <row r="959" s="24" customFormat="1" x14ac:dyDescent="0.2"/>
    <row r="960" s="24" customFormat="1" x14ac:dyDescent="0.2"/>
    <row r="961" s="24" customFormat="1" x14ac:dyDescent="0.2"/>
    <row r="962" s="24" customFormat="1" x14ac:dyDescent="0.2"/>
    <row r="963" s="24" customFormat="1" x14ac:dyDescent="0.2"/>
    <row r="964" s="24" customFormat="1" x14ac:dyDescent="0.2"/>
    <row r="965" s="24" customFormat="1" x14ac:dyDescent="0.2"/>
    <row r="966" s="24" customFormat="1" x14ac:dyDescent="0.2"/>
    <row r="967" s="24" customFormat="1" x14ac:dyDescent="0.2"/>
    <row r="968" s="24" customFormat="1" x14ac:dyDescent="0.2"/>
    <row r="969" s="24" customFormat="1" x14ac:dyDescent="0.2"/>
    <row r="970" s="24" customFormat="1" x14ac:dyDescent="0.2"/>
    <row r="971" s="24" customFormat="1" x14ac:dyDescent="0.2"/>
    <row r="972" s="24" customFormat="1" x14ac:dyDescent="0.2"/>
    <row r="973" s="24" customFormat="1" x14ac:dyDescent="0.2"/>
    <row r="974" s="24" customFormat="1" x14ac:dyDescent="0.2"/>
    <row r="975" s="24" customFormat="1" x14ac:dyDescent="0.2"/>
    <row r="976" s="24" customFormat="1" x14ac:dyDescent="0.2"/>
    <row r="977" s="24" customFormat="1" x14ac:dyDescent="0.2"/>
    <row r="978" s="24" customFormat="1" x14ac:dyDescent="0.2"/>
    <row r="979" s="24" customFormat="1" x14ac:dyDescent="0.2"/>
    <row r="980" s="24" customFormat="1" x14ac:dyDescent="0.2"/>
    <row r="981" s="24" customFormat="1" x14ac:dyDescent="0.2"/>
    <row r="982" s="24" customFormat="1" x14ac:dyDescent="0.2"/>
    <row r="983" s="24" customFormat="1" x14ac:dyDescent="0.2"/>
    <row r="984" s="24" customFormat="1" x14ac:dyDescent="0.2"/>
    <row r="985" s="24" customFormat="1" x14ac:dyDescent="0.2"/>
    <row r="986" s="24" customFormat="1" x14ac:dyDescent="0.2"/>
    <row r="987" s="24" customFormat="1" x14ac:dyDescent="0.2"/>
    <row r="988" s="24" customFormat="1" x14ac:dyDescent="0.2"/>
    <row r="989" s="24" customFormat="1" x14ac:dyDescent="0.2"/>
    <row r="990" s="24" customFormat="1" x14ac:dyDescent="0.2"/>
    <row r="991" s="24" customFormat="1" x14ac:dyDescent="0.2"/>
    <row r="992" s="24" customFormat="1" x14ac:dyDescent="0.2"/>
    <row r="993" s="24" customFormat="1" x14ac:dyDescent="0.2"/>
    <row r="994" s="24" customFormat="1" x14ac:dyDescent="0.2"/>
    <row r="995" s="24" customFormat="1" x14ac:dyDescent="0.2"/>
    <row r="996" s="24" customFormat="1" x14ac:dyDescent="0.2"/>
    <row r="997" s="24" customFormat="1" x14ac:dyDescent="0.2"/>
    <row r="998" s="24" customFormat="1" x14ac:dyDescent="0.2"/>
    <row r="999" s="24" customFormat="1" x14ac:dyDescent="0.2"/>
    <row r="1000" s="24" customFormat="1" x14ac:dyDescent="0.2"/>
    <row r="1001" s="24" customFormat="1" x14ac:dyDescent="0.2"/>
    <row r="1002" s="24" customFormat="1" x14ac:dyDescent="0.2"/>
    <row r="1003" s="24" customFormat="1" x14ac:dyDescent="0.2"/>
    <row r="1004" s="24" customFormat="1" x14ac:dyDescent="0.2"/>
    <row r="1005" s="24" customFormat="1" x14ac:dyDescent="0.2"/>
    <row r="1006" s="24" customFormat="1" x14ac:dyDescent="0.2"/>
    <row r="1007" s="24" customFormat="1" x14ac:dyDescent="0.2"/>
    <row r="1008" s="24" customFormat="1" x14ac:dyDescent="0.2"/>
    <row r="1009" s="24" customFormat="1" x14ac:dyDescent="0.2"/>
    <row r="1010" s="24" customFormat="1" x14ac:dyDescent="0.2"/>
    <row r="1011" s="24" customFormat="1" x14ac:dyDescent="0.2"/>
    <row r="1012" s="24" customFormat="1" x14ac:dyDescent="0.2"/>
    <row r="1013" s="24" customFormat="1" x14ac:dyDescent="0.2"/>
    <row r="1014" s="24" customFormat="1" x14ac:dyDescent="0.2"/>
    <row r="1015" s="24" customFormat="1" x14ac:dyDescent="0.2"/>
    <row r="1016" s="24" customFormat="1" x14ac:dyDescent="0.2"/>
    <row r="1017" s="24" customFormat="1" x14ac:dyDescent="0.2"/>
    <row r="1018" s="24" customFormat="1" x14ac:dyDescent="0.2"/>
    <row r="1019" s="24" customFormat="1" x14ac:dyDescent="0.2"/>
    <row r="1020" s="24" customFormat="1" x14ac:dyDescent="0.2"/>
    <row r="1021" s="24" customFormat="1" x14ac:dyDescent="0.2"/>
    <row r="1022" s="24" customFormat="1" x14ac:dyDescent="0.2"/>
    <row r="1023" s="24" customFormat="1" x14ac:dyDescent="0.2"/>
    <row r="1024" s="24" customFormat="1" x14ac:dyDescent="0.2"/>
    <row r="1025" s="24" customFormat="1" x14ac:dyDescent="0.2"/>
    <row r="1026" s="24" customFormat="1" x14ac:dyDescent="0.2"/>
    <row r="1027" s="24" customFormat="1" x14ac:dyDescent="0.2"/>
    <row r="1028" s="24" customFormat="1" x14ac:dyDescent="0.2"/>
    <row r="1029" s="24" customFormat="1" x14ac:dyDescent="0.2"/>
    <row r="1030" s="24" customFormat="1" x14ac:dyDescent="0.2"/>
    <row r="1031" s="24" customFormat="1" x14ac:dyDescent="0.2"/>
    <row r="1032" s="24" customFormat="1" x14ac:dyDescent="0.2"/>
    <row r="1033" s="24" customFormat="1" x14ac:dyDescent="0.2"/>
    <row r="1034" s="24" customFormat="1" x14ac:dyDescent="0.2"/>
    <row r="1035" s="24" customFormat="1" x14ac:dyDescent="0.2"/>
    <row r="1036" s="24" customFormat="1" x14ac:dyDescent="0.2"/>
    <row r="1037" s="24" customFormat="1" x14ac:dyDescent="0.2"/>
    <row r="1038" s="24" customFormat="1" x14ac:dyDescent="0.2"/>
    <row r="1039" s="24" customFormat="1" x14ac:dyDescent="0.2"/>
    <row r="1040" s="24" customFormat="1" x14ac:dyDescent="0.2"/>
    <row r="1041" s="24" customFormat="1" x14ac:dyDescent="0.2"/>
    <row r="1042" s="24" customFormat="1" x14ac:dyDescent="0.2"/>
    <row r="1043" s="24" customFormat="1" x14ac:dyDescent="0.2"/>
    <row r="1044" s="24" customFormat="1" x14ac:dyDescent="0.2"/>
    <row r="1045" s="24" customFormat="1" x14ac:dyDescent="0.2"/>
    <row r="1046" s="24" customFormat="1" x14ac:dyDescent="0.2"/>
    <row r="1047" s="24" customFormat="1" x14ac:dyDescent="0.2"/>
    <row r="1048" s="24" customFormat="1" x14ac:dyDescent="0.2"/>
    <row r="1049" s="24" customFormat="1" x14ac:dyDescent="0.2"/>
    <row r="1050" s="24" customFormat="1" x14ac:dyDescent="0.2"/>
    <row r="1051" s="24" customFormat="1" x14ac:dyDescent="0.2"/>
    <row r="1052" s="24" customFormat="1" x14ac:dyDescent="0.2"/>
    <row r="1053" s="24" customFormat="1" x14ac:dyDescent="0.2"/>
    <row r="1054" s="24" customFormat="1" x14ac:dyDescent="0.2"/>
    <row r="1055" s="24" customFormat="1" x14ac:dyDescent="0.2"/>
    <row r="1056" s="24" customFormat="1" x14ac:dyDescent="0.2"/>
    <row r="1057" s="24" customFormat="1" x14ac:dyDescent="0.2"/>
    <row r="1058" s="24" customFormat="1" x14ac:dyDescent="0.2"/>
    <row r="1059" s="24" customFormat="1" x14ac:dyDescent="0.2"/>
    <row r="1060" s="24" customFormat="1" x14ac:dyDescent="0.2"/>
    <row r="1061" s="24" customFormat="1" x14ac:dyDescent="0.2"/>
    <row r="1062" s="24" customFormat="1" x14ac:dyDescent="0.2"/>
    <row r="1063" s="24" customFormat="1" x14ac:dyDescent="0.2"/>
    <row r="1064" s="24" customFormat="1" x14ac:dyDescent="0.2"/>
    <row r="1065" s="24" customFormat="1" x14ac:dyDescent="0.2"/>
    <row r="1066" s="24" customFormat="1" x14ac:dyDescent="0.2"/>
    <row r="1067" s="24" customFormat="1" x14ac:dyDescent="0.2"/>
    <row r="1068" s="24" customFormat="1" x14ac:dyDescent="0.2"/>
    <row r="1069" s="24" customFormat="1" x14ac:dyDescent="0.2"/>
    <row r="1070" s="24" customFormat="1" x14ac:dyDescent="0.2"/>
    <row r="1071" s="24" customFormat="1" x14ac:dyDescent="0.2"/>
    <row r="1072" s="24" customFormat="1" x14ac:dyDescent="0.2"/>
    <row r="1073" s="24" customFormat="1" x14ac:dyDescent="0.2"/>
    <row r="1074" s="24" customFormat="1" x14ac:dyDescent="0.2"/>
    <row r="1075" s="24" customFormat="1" x14ac:dyDescent="0.2"/>
    <row r="1076" s="24" customFormat="1" x14ac:dyDescent="0.2"/>
    <row r="1077" s="24" customFormat="1" x14ac:dyDescent="0.2"/>
    <row r="1078" s="24" customFormat="1" x14ac:dyDescent="0.2"/>
    <row r="1079" s="24" customFormat="1" x14ac:dyDescent="0.2"/>
    <row r="1080" s="24" customFormat="1" x14ac:dyDescent="0.2"/>
    <row r="1081" s="24" customFormat="1" x14ac:dyDescent="0.2"/>
    <row r="1082" s="24" customFormat="1" x14ac:dyDescent="0.2"/>
    <row r="1083" s="24" customFormat="1" x14ac:dyDescent="0.2"/>
    <row r="1084" s="24" customFormat="1" x14ac:dyDescent="0.2"/>
    <row r="1085" s="24" customFormat="1" x14ac:dyDescent="0.2"/>
    <row r="1086" s="24" customFormat="1" x14ac:dyDescent="0.2"/>
    <row r="1087" s="24" customFormat="1" x14ac:dyDescent="0.2"/>
    <row r="1088" s="24" customFormat="1" x14ac:dyDescent="0.2"/>
    <row r="1089" s="24" customFormat="1" x14ac:dyDescent="0.2"/>
    <row r="1090" s="24" customFormat="1" x14ac:dyDescent="0.2"/>
    <row r="1091" s="24" customFormat="1" x14ac:dyDescent="0.2"/>
    <row r="1092" s="24" customFormat="1" x14ac:dyDescent="0.2"/>
    <row r="1093" s="24" customFormat="1" x14ac:dyDescent="0.2"/>
    <row r="1094" s="24" customFormat="1" x14ac:dyDescent="0.2"/>
    <row r="1095" s="24" customFormat="1" x14ac:dyDescent="0.2"/>
    <row r="1096" s="24" customFormat="1" x14ac:dyDescent="0.2"/>
    <row r="1097" s="24" customFormat="1" x14ac:dyDescent="0.2"/>
    <row r="1098" s="24" customFormat="1" x14ac:dyDescent="0.2"/>
    <row r="1099" s="24" customFormat="1" x14ac:dyDescent="0.2"/>
    <row r="1100" s="24" customFormat="1" x14ac:dyDescent="0.2"/>
    <row r="1101" s="24" customFormat="1" x14ac:dyDescent="0.2"/>
    <row r="1102" s="24" customFormat="1" x14ac:dyDescent="0.2"/>
    <row r="1103" s="24" customFormat="1" x14ac:dyDescent="0.2"/>
    <row r="1104" s="24" customFormat="1" x14ac:dyDescent="0.2"/>
    <row r="1105" s="24" customFormat="1" x14ac:dyDescent="0.2"/>
    <row r="1106" s="24" customFormat="1" x14ac:dyDescent="0.2"/>
    <row r="1107" s="24" customFormat="1" x14ac:dyDescent="0.2"/>
    <row r="1108" s="24" customFormat="1" x14ac:dyDescent="0.2"/>
    <row r="1109" s="24" customFormat="1" x14ac:dyDescent="0.2"/>
    <row r="1110" s="24" customFormat="1" x14ac:dyDescent="0.2"/>
    <row r="1111" s="24" customFormat="1" x14ac:dyDescent="0.2"/>
    <row r="1112" s="24" customFormat="1" x14ac:dyDescent="0.2"/>
    <row r="1113" s="24" customFormat="1" x14ac:dyDescent="0.2"/>
    <row r="1114" s="24" customFormat="1" x14ac:dyDescent="0.2"/>
    <row r="1115" s="24" customFormat="1" x14ac:dyDescent="0.2"/>
    <row r="1116" s="24" customFormat="1" x14ac:dyDescent="0.2"/>
    <row r="1117" s="24" customFormat="1" x14ac:dyDescent="0.2"/>
    <row r="1118" s="24" customFormat="1" x14ac:dyDescent="0.2"/>
    <row r="1119" s="24" customFormat="1" x14ac:dyDescent="0.2"/>
    <row r="1120" s="24" customFormat="1" x14ac:dyDescent="0.2"/>
    <row r="1121" s="24" customFormat="1" x14ac:dyDescent="0.2"/>
    <row r="1122" s="24" customFormat="1" x14ac:dyDescent="0.2"/>
    <row r="1123" s="24" customFormat="1" x14ac:dyDescent="0.2"/>
    <row r="1124" s="24" customFormat="1" x14ac:dyDescent="0.2"/>
    <row r="1125" s="24" customFormat="1" x14ac:dyDescent="0.2"/>
    <row r="1126" s="24" customFormat="1" x14ac:dyDescent="0.2"/>
    <row r="1127" s="24" customFormat="1" x14ac:dyDescent="0.2"/>
    <row r="1128" s="24" customFormat="1" x14ac:dyDescent="0.2"/>
    <row r="1129" s="24" customFormat="1" x14ac:dyDescent="0.2"/>
    <row r="1130" s="24" customFormat="1" x14ac:dyDescent="0.2"/>
    <row r="1131" s="24" customFormat="1" x14ac:dyDescent="0.2"/>
    <row r="1132" s="24" customFormat="1" x14ac:dyDescent="0.2"/>
    <row r="1133" s="24" customFormat="1" x14ac:dyDescent="0.2"/>
    <row r="1134" s="24" customFormat="1" x14ac:dyDescent="0.2"/>
    <row r="1135" s="24" customFormat="1" x14ac:dyDescent="0.2"/>
    <row r="1136" s="24" customFormat="1" x14ac:dyDescent="0.2"/>
    <row r="1137" s="24" customFormat="1" x14ac:dyDescent="0.2"/>
    <row r="1138" s="24" customFormat="1" x14ac:dyDescent="0.2"/>
    <row r="1139" s="24" customFormat="1" x14ac:dyDescent="0.2"/>
    <row r="1140" s="24" customFormat="1" x14ac:dyDescent="0.2"/>
    <row r="1141" s="24" customFormat="1" x14ac:dyDescent="0.2"/>
    <row r="1142" s="24" customFormat="1" x14ac:dyDescent="0.2"/>
    <row r="1143" s="24" customFormat="1" x14ac:dyDescent="0.2"/>
    <row r="1144" s="24" customFormat="1" x14ac:dyDescent="0.2"/>
    <row r="1145" s="24" customFormat="1" x14ac:dyDescent="0.2"/>
    <row r="1146" s="24" customFormat="1" x14ac:dyDescent="0.2"/>
    <row r="1147" s="24" customFormat="1" x14ac:dyDescent="0.2"/>
    <row r="1148" s="24" customFormat="1" x14ac:dyDescent="0.2"/>
    <row r="1149" s="24" customFormat="1" x14ac:dyDescent="0.2"/>
    <row r="1150" s="24" customFormat="1" x14ac:dyDescent="0.2"/>
    <row r="1151" s="24" customFormat="1" x14ac:dyDescent="0.2"/>
    <row r="1152" s="24" customFormat="1" x14ac:dyDescent="0.2"/>
    <row r="1153" s="24" customFormat="1" x14ac:dyDescent="0.2"/>
    <row r="1154" s="24" customFormat="1" x14ac:dyDescent="0.2"/>
    <row r="1155" s="24" customFormat="1" x14ac:dyDescent="0.2"/>
    <row r="1156" s="24" customFormat="1" x14ac:dyDescent="0.2"/>
    <row r="1157" s="24" customFormat="1" x14ac:dyDescent="0.2"/>
    <row r="1158" s="24" customFormat="1" x14ac:dyDescent="0.2"/>
    <row r="1159" s="24" customFormat="1" x14ac:dyDescent="0.2"/>
    <row r="1160" s="24" customFormat="1" x14ac:dyDescent="0.2"/>
    <row r="1161" s="24" customFormat="1" x14ac:dyDescent="0.2"/>
    <row r="1162" s="24" customFormat="1" x14ac:dyDescent="0.2"/>
    <row r="1163" s="24" customFormat="1" x14ac:dyDescent="0.2"/>
    <row r="1164" s="24" customFormat="1" x14ac:dyDescent="0.2"/>
    <row r="1165" s="24" customFormat="1" x14ac:dyDescent="0.2"/>
    <row r="1166" s="24" customFormat="1" x14ac:dyDescent="0.2"/>
    <row r="1167" s="24" customFormat="1" x14ac:dyDescent="0.2"/>
    <row r="1168" s="24" customFormat="1" x14ac:dyDescent="0.2"/>
    <row r="1169" s="24" customFormat="1" x14ac:dyDescent="0.2"/>
    <row r="1170" s="24" customFormat="1" x14ac:dyDescent="0.2"/>
    <row r="1171" s="24" customFormat="1" x14ac:dyDescent="0.2"/>
    <row r="1172" s="24" customFormat="1" x14ac:dyDescent="0.2"/>
    <row r="1173" s="24" customFormat="1" x14ac:dyDescent="0.2"/>
    <row r="1174" s="24" customFormat="1" x14ac:dyDescent="0.2"/>
    <row r="1175" s="24" customFormat="1" x14ac:dyDescent="0.2"/>
    <row r="1176" s="24" customFormat="1" x14ac:dyDescent="0.2"/>
    <row r="1177" s="24" customFormat="1" x14ac:dyDescent="0.2"/>
    <row r="1178" s="24" customFormat="1" x14ac:dyDescent="0.2"/>
    <row r="1179" s="24" customFormat="1" x14ac:dyDescent="0.2"/>
    <row r="1180" s="24" customFormat="1" x14ac:dyDescent="0.2"/>
    <row r="1181" s="24" customFormat="1" x14ac:dyDescent="0.2"/>
    <row r="1182" s="24" customFormat="1" x14ac:dyDescent="0.2"/>
    <row r="1183" s="24" customFormat="1" x14ac:dyDescent="0.2"/>
    <row r="1184" s="24" customFormat="1" x14ac:dyDescent="0.2"/>
    <row r="1185" s="24" customFormat="1" x14ac:dyDescent="0.2"/>
    <row r="1186" s="24" customFormat="1" x14ac:dyDescent="0.2"/>
    <row r="1187" s="24" customFormat="1" x14ac:dyDescent="0.2"/>
    <row r="1188" s="24" customFormat="1" x14ac:dyDescent="0.2"/>
    <row r="1189" s="24" customFormat="1" x14ac:dyDescent="0.2"/>
    <row r="1190" s="24" customFormat="1" x14ac:dyDescent="0.2"/>
    <row r="1191" s="24" customFormat="1" x14ac:dyDescent="0.2"/>
    <row r="1192" s="24" customFormat="1" x14ac:dyDescent="0.2"/>
    <row r="1193" s="24" customFormat="1" x14ac:dyDescent="0.2"/>
    <row r="1194" s="24" customFormat="1" x14ac:dyDescent="0.2"/>
    <row r="1195" s="24" customFormat="1" x14ac:dyDescent="0.2"/>
    <row r="1196" s="24" customFormat="1" x14ac:dyDescent="0.2"/>
    <row r="1197" s="24" customFormat="1" x14ac:dyDescent="0.2"/>
    <row r="1198" s="24" customFormat="1" x14ac:dyDescent="0.2"/>
    <row r="1199" s="24" customFormat="1" x14ac:dyDescent="0.2"/>
    <row r="1200" s="24" customFormat="1" x14ac:dyDescent="0.2"/>
    <row r="1201" s="24" customFormat="1" x14ac:dyDescent="0.2"/>
    <row r="1202" s="24" customFormat="1" x14ac:dyDescent="0.2"/>
    <row r="1203" s="24" customFormat="1" x14ac:dyDescent="0.2"/>
    <row r="1204" s="24" customFormat="1" x14ac:dyDescent="0.2"/>
    <row r="1205" s="24" customFormat="1" x14ac:dyDescent="0.2"/>
    <row r="1206" s="24" customFormat="1" x14ac:dyDescent="0.2"/>
    <row r="1207" s="24" customFormat="1" x14ac:dyDescent="0.2"/>
    <row r="1208" s="24" customFormat="1" x14ac:dyDescent="0.2"/>
    <row r="1209" s="24" customFormat="1" x14ac:dyDescent="0.2"/>
    <row r="1210" s="24" customFormat="1" x14ac:dyDescent="0.2"/>
    <row r="1211" s="24" customFormat="1" x14ac:dyDescent="0.2"/>
    <row r="1212" s="24" customFormat="1" x14ac:dyDescent="0.2"/>
    <row r="1213" s="24" customFormat="1" x14ac:dyDescent="0.2"/>
    <row r="1214" s="24" customFormat="1" x14ac:dyDescent="0.2"/>
    <row r="1215" s="24" customFormat="1" x14ac:dyDescent="0.2"/>
    <row r="1216" s="24" customFormat="1" x14ac:dyDescent="0.2"/>
    <row r="1217" s="24" customFormat="1" x14ac:dyDescent="0.2"/>
    <row r="1218" s="24" customFormat="1" x14ac:dyDescent="0.2"/>
    <row r="1219" s="24" customFormat="1" x14ac:dyDescent="0.2"/>
    <row r="1220" s="24" customFormat="1" x14ac:dyDescent="0.2"/>
    <row r="1221" s="24" customFormat="1" x14ac:dyDescent="0.2"/>
    <row r="1222" s="24" customFormat="1" x14ac:dyDescent="0.2"/>
    <row r="1223" s="24" customFormat="1" x14ac:dyDescent="0.2"/>
    <row r="1224" s="24" customFormat="1" x14ac:dyDescent="0.2"/>
    <row r="1225" s="24" customFormat="1" x14ac:dyDescent="0.2"/>
    <row r="1226" s="24" customFormat="1" x14ac:dyDescent="0.2"/>
    <row r="1227" s="24" customFormat="1" x14ac:dyDescent="0.2"/>
    <row r="1228" s="24" customFormat="1" x14ac:dyDescent="0.2"/>
    <row r="1229" s="24" customFormat="1" x14ac:dyDescent="0.2"/>
    <row r="1230" s="24" customFormat="1" x14ac:dyDescent="0.2"/>
    <row r="1231" s="24" customFormat="1" x14ac:dyDescent="0.2"/>
    <row r="1232" s="24" customFormat="1" x14ac:dyDescent="0.2"/>
    <row r="1233" s="24" customFormat="1" x14ac:dyDescent="0.2"/>
    <row r="1234" s="24" customFormat="1" x14ac:dyDescent="0.2"/>
    <row r="1235" s="24" customFormat="1" x14ac:dyDescent="0.2"/>
    <row r="1236" s="24" customFormat="1" x14ac:dyDescent="0.2"/>
    <row r="1237" s="24" customFormat="1" x14ac:dyDescent="0.2"/>
    <row r="1238" s="24" customFormat="1" x14ac:dyDescent="0.2"/>
    <row r="1239" s="24" customFormat="1" x14ac:dyDescent="0.2"/>
    <row r="1240" s="24" customFormat="1" x14ac:dyDescent="0.2"/>
    <row r="1241" s="24" customFormat="1" x14ac:dyDescent="0.2"/>
    <row r="1242" s="24" customFormat="1" x14ac:dyDescent="0.2"/>
    <row r="1243" s="24" customFormat="1" x14ac:dyDescent="0.2"/>
    <row r="1244" s="24" customFormat="1" x14ac:dyDescent="0.2"/>
    <row r="1245" s="24" customFormat="1" x14ac:dyDescent="0.2"/>
    <row r="1246" s="24" customFormat="1" x14ac:dyDescent="0.2"/>
    <row r="1247" s="24" customFormat="1" x14ac:dyDescent="0.2"/>
    <row r="1248" s="24" customFormat="1" x14ac:dyDescent="0.2"/>
    <row r="1249" s="24" customFormat="1" x14ac:dyDescent="0.2"/>
    <row r="1250" s="24" customFormat="1" x14ac:dyDescent="0.2"/>
    <row r="1251" s="24" customFormat="1" x14ac:dyDescent="0.2"/>
    <row r="1252" s="24" customFormat="1" x14ac:dyDescent="0.2"/>
    <row r="1253" s="24" customFormat="1" x14ac:dyDescent="0.2"/>
    <row r="1254" s="24" customFormat="1" x14ac:dyDescent="0.2"/>
    <row r="1255" s="24" customFormat="1" x14ac:dyDescent="0.2"/>
    <row r="1256" s="24" customFormat="1" x14ac:dyDescent="0.2"/>
    <row r="1257" s="24" customFormat="1" x14ac:dyDescent="0.2"/>
    <row r="1258" s="24" customFormat="1" x14ac:dyDescent="0.2"/>
    <row r="1259" s="24" customFormat="1" x14ac:dyDescent="0.2"/>
  </sheetData>
  <mergeCells count="1">
    <mergeCell ref="A3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"/>
  <sheetViews>
    <sheetView workbookViewId="0">
      <selection activeCell="B21" sqref="B21"/>
    </sheetView>
  </sheetViews>
  <sheetFormatPr defaultRowHeight="14.25" x14ac:dyDescent="0.2"/>
  <cols>
    <col min="2" max="2" width="71.625" customWidth="1"/>
    <col min="3" max="3" width="76.75" customWidth="1"/>
  </cols>
  <sheetData>
    <row r="1" spans="1:3" ht="19.5" thickBot="1" x14ac:dyDescent="0.25">
      <c r="A1" s="108" t="s">
        <v>135</v>
      </c>
      <c r="B1" s="108" t="s">
        <v>136</v>
      </c>
      <c r="C1" s="108" t="s">
        <v>137</v>
      </c>
    </row>
    <row r="2" spans="1:3" ht="15" thickBot="1" x14ac:dyDescent="0.25">
      <c r="A2" s="109" t="s">
        <v>138</v>
      </c>
      <c r="B2" s="109" t="s">
        <v>139</v>
      </c>
      <c r="C2" s="109" t="s">
        <v>140</v>
      </c>
    </row>
    <row r="3" spans="1:3" ht="19.5" thickBot="1" x14ac:dyDescent="0.35">
      <c r="A3" s="109" t="s">
        <v>141</v>
      </c>
      <c r="B3" s="345" t="s">
        <v>142</v>
      </c>
      <c r="C3" s="346"/>
    </row>
    <row r="4" spans="1:3" ht="19.5" thickBot="1" x14ac:dyDescent="0.35">
      <c r="A4" s="109" t="s">
        <v>143</v>
      </c>
      <c r="B4" s="110" t="s">
        <v>144</v>
      </c>
      <c r="C4" s="111" t="s">
        <v>145</v>
      </c>
    </row>
    <row r="5" spans="1:3" ht="57" thickBot="1" x14ac:dyDescent="0.35">
      <c r="A5" s="108" t="s">
        <v>146</v>
      </c>
      <c r="B5" s="112" t="s">
        <v>147</v>
      </c>
      <c r="C5" s="111" t="s">
        <v>148</v>
      </c>
    </row>
    <row r="6" spans="1:3" ht="19.5" thickBot="1" x14ac:dyDescent="0.35">
      <c r="A6" s="109" t="s">
        <v>149</v>
      </c>
      <c r="B6" s="113" t="s">
        <v>150</v>
      </c>
      <c r="C6" s="111" t="s">
        <v>151</v>
      </c>
    </row>
    <row r="7" spans="1:3" ht="19.5" thickBot="1" x14ac:dyDescent="0.25">
      <c r="A7" s="108" t="s">
        <v>152</v>
      </c>
      <c r="B7" s="347" t="s">
        <v>153</v>
      </c>
      <c r="C7" s="348"/>
    </row>
    <row r="8" spans="1:3" ht="38.25" thickBot="1" x14ac:dyDescent="0.25">
      <c r="A8" s="108" t="s">
        <v>154</v>
      </c>
      <c r="B8" s="114" t="s">
        <v>155</v>
      </c>
      <c r="C8" s="111" t="s">
        <v>156</v>
      </c>
    </row>
    <row r="9" spans="1:3" ht="38.25" thickBot="1" x14ac:dyDescent="0.25">
      <c r="A9" s="108" t="s">
        <v>157</v>
      </c>
      <c r="B9" s="114" t="s">
        <v>158</v>
      </c>
      <c r="C9" s="111" t="s">
        <v>156</v>
      </c>
    </row>
    <row r="10" spans="1:3" ht="38.25" thickBot="1" x14ac:dyDescent="0.25">
      <c r="A10" s="108" t="s">
        <v>159</v>
      </c>
      <c r="B10" s="114" t="s">
        <v>160</v>
      </c>
      <c r="C10" s="111" t="s">
        <v>161</v>
      </c>
    </row>
  </sheetData>
  <mergeCells count="2">
    <mergeCell ref="B3:C3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Thuyết minh ngày Giường (2)</vt:lpstr>
      <vt:lpstr>Thuyết minh công khám</vt:lpstr>
      <vt:lpstr>Sheet2</vt:lpstr>
      <vt:lpstr>Phu lục 2</vt:lpstr>
      <vt:lpstr>Giường</vt:lpstr>
      <vt:lpstr>Giường TT22 BYT</vt:lpstr>
      <vt:lpstr>Công khám BHYT</vt:lpstr>
      <vt:lpstr>Giường BHYT</vt:lpstr>
      <vt:lpstr>Công khám BM</vt:lpstr>
      <vt:lpstr>Giường BM</vt:lpstr>
      <vt:lpstr>Công khám CR</vt:lpstr>
      <vt:lpstr>Giường CR</vt:lpstr>
      <vt:lpstr>'Phu lục 2'!chuong_pl_2_name</vt:lpstr>
      <vt:lpstr>'Thuyết minh công khám'!chuong_pl_5</vt:lpstr>
      <vt:lpstr>'Thuyết minh công khám'!chuong_pl_5_name</vt:lpstr>
      <vt:lpstr>Giường!Print_Area</vt:lpstr>
      <vt:lpstr>Giường!Print_Titles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FNU LNU</cp:lastModifiedBy>
  <cp:lastPrinted>2024-11-26T09:58:10Z</cp:lastPrinted>
  <dcterms:created xsi:type="dcterms:W3CDTF">2024-10-22T10:32:45Z</dcterms:created>
  <dcterms:modified xsi:type="dcterms:W3CDTF">2024-12-05T00:35:10Z</dcterms:modified>
</cp:coreProperties>
</file>